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245" activeTab="1"/>
  </bookViews>
  <sheets>
    <sheet name="xxx" sheetId="1" r:id="rId1"/>
    <sheet name="Zał_nr_2_wydr" sheetId="2" r:id="rId2"/>
  </sheets>
  <definedNames>
    <definedName name="_xlnm.Print_Area" localSheetId="1">'Zał_nr_2_wydr'!$A$1:$AC$84</definedName>
  </definedNames>
  <calcPr fullCalcOnLoad="1"/>
</workbook>
</file>

<file path=xl/sharedStrings.xml><?xml version="1.0" encoding="utf-8"?>
<sst xmlns="http://schemas.openxmlformats.org/spreadsheetml/2006/main" count="190" uniqueCount="112">
  <si>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</si>
  <si>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</si>
  <si>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</si>
  <si>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</si>
  <si>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</si>
  <si>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</si>
  <si>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</si>
  <si>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</si>
  <si>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</si>
  <si>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</si>
  <si>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</si>
  <si>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</si>
  <si>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</si>
  <si>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</si>
  <si>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</si>
  <si>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</si>
  <si>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</si>
  <si>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</si>
  <si>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</si>
  <si>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</si>
  <si>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</si>
  <si>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</si>
  <si>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</si>
  <si>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</si>
  <si>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</si>
  <si>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</si>
  <si>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</si>
  <si>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</si>
  <si>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</si>
  <si>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</si>
  <si>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</si>
  <si>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</si>
  <si>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</si>
  <si>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</si>
  <si>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</si>
  <si>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</si>
  <si>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</si>
  <si>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</si>
  <si>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</si>
  <si>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</si>
  <si>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</si>
  <si>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</si>
  <si>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</si>
  <si>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</si>
  <si>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</si>
  <si>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</si>
  <si>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</si>
  <si>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</si>
  <si>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</si>
  <si>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</si>
  <si>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</si>
  <si>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</si>
  <si>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</si>
  <si>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</si>
  <si>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</si>
  <si>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</si>
  <si>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</si>
  <si>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</si>
  <si>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</si>
  <si>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</si>
  <si>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</si>
  <si>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</si>
  <si>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</si>
  <si>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</si>
  <si>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</si>
  <si>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</si>
  <si>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</si>
  <si>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</si>
  <si>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</si>
  <si>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</si>
  <si>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</si>
  <si>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Wykonanie na 31.12.2007</t>
  </si>
  <si>
    <t>Wykonanie na 31.12.2008</t>
  </si>
  <si>
    <t>Wykonanie na 31.12.2009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</si>
  <si>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</si>
  <si>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</si>
  <si>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</si>
  <si>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</si>
  <si>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</si>
  <si>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</si>
  <si>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</si>
  <si>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</si>
  <si>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</si>
  <si>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</si>
  <si>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</si>
  <si>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H. Wskaźnik obsługi długu (G : A) w %</t>
  </si>
  <si>
    <t>J. Wskaźnik długu (I. - I.1.1. - I.2.1.) : A w %</t>
  </si>
  <si>
    <t>TAK</t>
  </si>
  <si>
    <t>planowana na rok spłata + odsetki</t>
  </si>
  <si>
    <t>planowana spłata / dochody ogółem</t>
  </si>
  <si>
    <t>dochody bieżące + dochody ze sprzedaży mienia – wydatki bieżące</t>
  </si>
  <si>
    <t>dochody ogółem</t>
  </si>
  <si>
    <t>K. Średnia arytmetyczna z ostatnich trzech lat, o której mowa w art. 243 ustawy z 27 sierpnia 2009 r.</t>
  </si>
  <si>
    <t>Załącznik nr 2</t>
  </si>
  <si>
    <t>Wykonanie na 31.12.2010</t>
  </si>
  <si>
    <t>Prognoza na 2026</t>
  </si>
  <si>
    <t>Prognoza na 2027</t>
  </si>
  <si>
    <t>Prognoza na 2028</t>
  </si>
  <si>
    <t>Prognoza na 2029</t>
  </si>
  <si>
    <t>Prognoza na 2030</t>
  </si>
  <si>
    <t>Wykonanie na 31.12.2012</t>
  </si>
  <si>
    <t>Wykonanie na 31.12.2011</t>
  </si>
  <si>
    <t>Wykonanie na 31.12.2013</t>
  </si>
  <si>
    <t>Wykonanie 31.12.2014</t>
  </si>
  <si>
    <t>wyłączenie odsetek</t>
  </si>
  <si>
    <t>Prognoza na 2031</t>
  </si>
  <si>
    <t>Prognoza na 2032</t>
  </si>
  <si>
    <t>Prognoza na 2033</t>
  </si>
  <si>
    <t>Prognoza kwoty długu i spłat zobowiązań dla  Gminy Mrągowo na lata 2018-2033</t>
  </si>
  <si>
    <t>w sprawie: zmiany uchwalenia WPF Gminy Mragowo na lata 2018-2033</t>
  </si>
  <si>
    <t>do uchwały Rady Gminy Mrągowo nr XLVII/369/18</t>
  </si>
  <si>
    <t>z dnia 27 kwietnia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</si>
</sst>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#,##0_ ;[Red]\-#,##0\ "/>
    <numFmt numFmtId="167" formatCode="#,##0.0000"/>
  </numFmts>
  <fonts count="5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ck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ck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 locked="0"/>
    </xf>
    <xf numFmtId="0" fontId="3" fillId="36" borderId="36" xfId="0" applyFont="1" applyFill="1" applyBorder="1" applyAlignment="1" applyProtection="1">
      <alignment horizontal="center" vertical="center" wrapText="1"/>
      <protection locked="0"/>
    </xf>
    <xf numFmtId="0" fontId="3" fillId="36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36" borderId="38" xfId="0" applyFont="1" applyFill="1" applyBorder="1" applyAlignment="1" applyProtection="1">
      <alignment horizontal="center" vertical="center" wrapText="1"/>
      <protection locked="0"/>
    </xf>
    <xf numFmtId="0" fontId="3" fillId="36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6" borderId="41" xfId="0" applyFont="1" applyFill="1" applyBorder="1" applyAlignment="1" applyProtection="1">
      <alignment vertical="center" wrapText="1"/>
      <protection/>
    </xf>
    <xf numFmtId="164" fontId="3" fillId="36" borderId="42" xfId="0" applyNumberFormat="1" applyFont="1" applyFill="1" applyBorder="1" applyAlignment="1" applyProtection="1">
      <alignment vertical="center"/>
      <protection/>
    </xf>
    <xf numFmtId="0" fontId="6" fillId="36" borderId="43" xfId="0" applyFont="1" applyFill="1" applyBorder="1" applyAlignment="1" applyProtection="1">
      <alignment vertical="center" wrapText="1"/>
      <protection/>
    </xf>
    <xf numFmtId="164" fontId="6" fillId="36" borderId="44" xfId="0" applyNumberFormat="1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vertical="center"/>
      <protection locked="0"/>
    </xf>
    <xf numFmtId="164" fontId="6" fillId="36" borderId="45" xfId="0" applyNumberFormat="1" applyFont="1" applyFill="1" applyBorder="1" applyAlignment="1" applyProtection="1">
      <alignment vertical="center"/>
      <protection locked="0"/>
    </xf>
    <xf numFmtId="3" fontId="6" fillId="36" borderId="15" xfId="0" applyNumberFormat="1" applyFont="1" applyFill="1" applyBorder="1" applyAlignment="1" applyProtection="1">
      <alignment vertical="center"/>
      <protection locked="0"/>
    </xf>
    <xf numFmtId="3" fontId="6" fillId="36" borderId="46" xfId="0" applyNumberFormat="1" applyFont="1" applyFill="1" applyBorder="1" applyAlignment="1" applyProtection="1">
      <alignment vertical="center"/>
      <protection locked="0"/>
    </xf>
    <xf numFmtId="0" fontId="6" fillId="36" borderId="47" xfId="0" applyFont="1" applyFill="1" applyBorder="1" applyAlignment="1" applyProtection="1">
      <alignment vertical="center" wrapText="1"/>
      <protection/>
    </xf>
    <xf numFmtId="164" fontId="6" fillId="36" borderId="18" xfId="0" applyNumberFormat="1" applyFont="1" applyFill="1" applyBorder="1" applyAlignment="1" applyProtection="1">
      <alignment vertical="center" wrapText="1"/>
      <protection locked="0"/>
    </xf>
    <xf numFmtId="164" fontId="6" fillId="36" borderId="19" xfId="0" applyNumberFormat="1" applyFont="1" applyFill="1" applyBorder="1" applyAlignment="1" applyProtection="1">
      <alignment vertical="center"/>
      <protection locked="0"/>
    </xf>
    <xf numFmtId="165" fontId="6" fillId="36" borderId="0" xfId="0" applyNumberFormat="1" applyFont="1" applyFill="1" applyBorder="1" applyAlignment="1" applyProtection="1">
      <alignment vertical="center"/>
      <protection locked="0"/>
    </xf>
    <xf numFmtId="164" fontId="6" fillId="36" borderId="48" xfId="0" applyNumberFormat="1" applyFont="1" applyFill="1" applyBorder="1" applyAlignment="1" applyProtection="1">
      <alignment vertical="center"/>
      <protection locked="0"/>
    </xf>
    <xf numFmtId="3" fontId="6" fillId="36" borderId="19" xfId="0" applyNumberFormat="1" applyFont="1" applyFill="1" applyBorder="1" applyAlignment="1" applyProtection="1">
      <alignment vertical="center"/>
      <protection locked="0"/>
    </xf>
    <xf numFmtId="3" fontId="6" fillId="36" borderId="49" xfId="0" applyNumberFormat="1" applyFont="1" applyFill="1" applyBorder="1" applyAlignment="1" applyProtection="1">
      <alignment vertical="center"/>
      <protection locked="0"/>
    </xf>
    <xf numFmtId="3" fontId="6" fillId="36" borderId="50" xfId="0" applyNumberFormat="1" applyFont="1" applyFill="1" applyBorder="1" applyAlignment="1" applyProtection="1">
      <alignment vertical="center"/>
      <protection locked="0"/>
    </xf>
    <xf numFmtId="0" fontId="6" fillId="36" borderId="51" xfId="0" applyFont="1" applyFill="1" applyBorder="1" applyAlignment="1" applyProtection="1">
      <alignment vertical="center" wrapText="1"/>
      <protection/>
    </xf>
    <xf numFmtId="164" fontId="6" fillId="36" borderId="23" xfId="0" applyNumberFormat="1" applyFont="1" applyFill="1" applyBorder="1" applyAlignment="1" applyProtection="1">
      <alignment vertical="center" wrapText="1"/>
      <protection locked="0"/>
    </xf>
    <xf numFmtId="164" fontId="6" fillId="36" borderId="24" xfId="0" applyNumberFormat="1" applyFont="1" applyFill="1" applyBorder="1" applyAlignment="1" applyProtection="1">
      <alignment vertical="center"/>
      <protection locked="0"/>
    </xf>
    <xf numFmtId="164" fontId="6" fillId="36" borderId="52" xfId="0" applyNumberFormat="1" applyFont="1" applyFill="1" applyBorder="1" applyAlignment="1" applyProtection="1">
      <alignment vertical="center"/>
      <protection locked="0"/>
    </xf>
    <xf numFmtId="3" fontId="6" fillId="36" borderId="24" xfId="0" applyNumberFormat="1" applyFont="1" applyFill="1" applyBorder="1" applyAlignment="1" applyProtection="1">
      <alignment vertical="center"/>
      <protection locked="0"/>
    </xf>
    <xf numFmtId="3" fontId="6" fillId="36" borderId="53" xfId="0" applyNumberFormat="1" applyFont="1" applyFill="1" applyBorder="1" applyAlignment="1" applyProtection="1">
      <alignment vertical="center"/>
      <protection locked="0"/>
    </xf>
    <xf numFmtId="0" fontId="3" fillId="36" borderId="54" xfId="0" applyFont="1" applyFill="1" applyBorder="1" applyAlignment="1" applyProtection="1">
      <alignment vertical="center" wrapText="1"/>
      <protection/>
    </xf>
    <xf numFmtId="164" fontId="3" fillId="36" borderId="55" xfId="0" applyNumberFormat="1" applyFont="1" applyFill="1" applyBorder="1" applyAlignment="1" applyProtection="1">
      <alignment vertical="center"/>
      <protection/>
    </xf>
    <xf numFmtId="164" fontId="3" fillId="36" borderId="56" xfId="0" applyNumberFormat="1" applyFont="1" applyFill="1" applyBorder="1" applyAlignment="1" applyProtection="1">
      <alignment vertical="center"/>
      <protection/>
    </xf>
    <xf numFmtId="3" fontId="3" fillId="36" borderId="55" xfId="0" applyNumberFormat="1" applyFont="1" applyFill="1" applyBorder="1" applyAlignment="1" applyProtection="1">
      <alignment vertical="center"/>
      <protection/>
    </xf>
    <xf numFmtId="0" fontId="3" fillId="36" borderId="57" xfId="0" applyFont="1" applyFill="1" applyBorder="1" applyAlignment="1" applyProtection="1">
      <alignment vertical="center" wrapText="1"/>
      <protection/>
    </xf>
    <xf numFmtId="164" fontId="3" fillId="36" borderId="58" xfId="0" applyNumberFormat="1" applyFont="1" applyFill="1" applyBorder="1" applyAlignment="1" applyProtection="1">
      <alignment vertical="center"/>
      <protection/>
    </xf>
    <xf numFmtId="164" fontId="3" fillId="36" borderId="59" xfId="0" applyNumberFormat="1" applyFont="1" applyFill="1" applyBorder="1" applyAlignment="1" applyProtection="1">
      <alignment vertical="center"/>
      <protection/>
    </xf>
    <xf numFmtId="0" fontId="3" fillId="36" borderId="43" xfId="0" applyFont="1" applyFill="1" applyBorder="1" applyAlignment="1" applyProtection="1">
      <alignment vertical="center" wrapText="1"/>
      <protection/>
    </xf>
    <xf numFmtId="164" fontId="3" fillId="36" borderId="15" xfId="0" applyNumberFormat="1" applyFont="1" applyFill="1" applyBorder="1" applyAlignment="1" applyProtection="1">
      <alignment vertical="center"/>
      <protection/>
    </xf>
    <xf numFmtId="164" fontId="3" fillId="36" borderId="45" xfId="0" applyNumberFormat="1" applyFont="1" applyFill="1" applyBorder="1" applyAlignment="1" applyProtection="1">
      <alignment vertical="center"/>
      <protection/>
    </xf>
    <xf numFmtId="3" fontId="3" fillId="36" borderId="60" xfId="0" applyNumberFormat="1" applyFont="1" applyFill="1" applyBorder="1" applyAlignment="1" applyProtection="1">
      <alignment vertical="center"/>
      <protection/>
    </xf>
    <xf numFmtId="3" fontId="3" fillId="36" borderId="46" xfId="0" applyNumberFormat="1" applyFont="1" applyFill="1" applyBorder="1" applyAlignment="1" applyProtection="1">
      <alignment vertical="center"/>
      <protection/>
    </xf>
    <xf numFmtId="0" fontId="6" fillId="36" borderId="61" xfId="0" applyFont="1" applyFill="1" applyBorder="1" applyAlignment="1" applyProtection="1">
      <alignment vertical="center" wrapText="1"/>
      <protection/>
    </xf>
    <xf numFmtId="164" fontId="6" fillId="36" borderId="62" xfId="0" applyNumberFormat="1" applyFont="1" applyFill="1" applyBorder="1" applyAlignment="1" applyProtection="1">
      <alignment vertical="center" wrapText="1"/>
      <protection locked="0"/>
    </xf>
    <xf numFmtId="164" fontId="6" fillId="36" borderId="63" xfId="0" applyNumberFormat="1" applyFont="1" applyFill="1" applyBorder="1" applyAlignment="1" applyProtection="1">
      <alignment vertical="center"/>
      <protection locked="0"/>
    </xf>
    <xf numFmtId="164" fontId="6" fillId="36" borderId="64" xfId="0" applyNumberFormat="1" applyFont="1" applyFill="1" applyBorder="1" applyAlignment="1" applyProtection="1">
      <alignment vertical="center"/>
      <protection locked="0"/>
    </xf>
    <xf numFmtId="3" fontId="6" fillId="36" borderId="63" xfId="0" applyNumberFormat="1" applyFont="1" applyFill="1" applyBorder="1" applyAlignment="1" applyProtection="1">
      <alignment vertical="center"/>
      <protection locked="0"/>
    </xf>
    <xf numFmtId="3" fontId="6" fillId="36" borderId="65" xfId="0" applyNumberFormat="1" applyFont="1" applyFill="1" applyBorder="1" applyAlignment="1" applyProtection="1">
      <alignment vertical="center"/>
      <protection locked="0"/>
    </xf>
    <xf numFmtId="3" fontId="3" fillId="36" borderId="66" xfId="0" applyNumberFormat="1" applyFont="1" applyFill="1" applyBorder="1" applyAlignment="1" applyProtection="1">
      <alignment vertical="center"/>
      <protection/>
    </xf>
    <xf numFmtId="3" fontId="3" fillId="36" borderId="67" xfId="0" applyNumberFormat="1" applyFont="1" applyFill="1" applyBorder="1" applyAlignment="1" applyProtection="1">
      <alignment vertical="center"/>
      <protection/>
    </xf>
    <xf numFmtId="3" fontId="3" fillId="36" borderId="58" xfId="0" applyNumberFormat="1" applyFont="1" applyFill="1" applyBorder="1" applyAlignment="1" applyProtection="1">
      <alignment vertical="center"/>
      <protection/>
    </xf>
    <xf numFmtId="3" fontId="3" fillId="36" borderId="68" xfId="0" applyNumberFormat="1" applyFont="1" applyFill="1" applyBorder="1" applyAlignment="1" applyProtection="1">
      <alignment vertical="center"/>
      <protection/>
    </xf>
    <xf numFmtId="3" fontId="3" fillId="36" borderId="69" xfId="0" applyNumberFormat="1" applyFont="1" applyFill="1" applyBorder="1" applyAlignment="1" applyProtection="1">
      <alignment vertical="center"/>
      <protection/>
    </xf>
    <xf numFmtId="3" fontId="6" fillId="36" borderId="70" xfId="0" applyNumberFormat="1" applyFont="1" applyFill="1" applyBorder="1" applyAlignment="1" applyProtection="1">
      <alignment vertical="center"/>
      <protection locked="0"/>
    </xf>
    <xf numFmtId="3" fontId="6" fillId="36" borderId="71" xfId="0" applyNumberFormat="1" applyFont="1" applyFill="1" applyBorder="1" applyAlignment="1" applyProtection="1">
      <alignment vertical="center"/>
      <protection locked="0"/>
    </xf>
    <xf numFmtId="0" fontId="3" fillId="36" borderId="72" xfId="0" applyFont="1" applyFill="1" applyBorder="1" applyAlignment="1" applyProtection="1">
      <alignment vertical="center" wrapText="1"/>
      <protection/>
    </xf>
    <xf numFmtId="164" fontId="3" fillId="36" borderId="30" xfId="0" applyNumberFormat="1" applyFont="1" applyFill="1" applyBorder="1" applyAlignment="1" applyProtection="1">
      <alignment vertical="center" wrapText="1"/>
      <protection locked="0"/>
    </xf>
    <xf numFmtId="164" fontId="6" fillId="36" borderId="12" xfId="0" applyNumberFormat="1" applyFont="1" applyFill="1" applyBorder="1" applyAlignment="1" applyProtection="1">
      <alignment vertical="center"/>
      <protection locked="0"/>
    </xf>
    <xf numFmtId="164" fontId="6" fillId="36" borderId="73" xfId="0" applyNumberFormat="1" applyFont="1" applyFill="1" applyBorder="1" applyAlignment="1" applyProtection="1">
      <alignment vertical="center"/>
      <protection locked="0"/>
    </xf>
    <xf numFmtId="3" fontId="6" fillId="36" borderId="12" xfId="0" applyNumberFormat="1" applyFont="1" applyFill="1" applyBorder="1" applyAlignment="1" applyProtection="1">
      <alignment vertical="center"/>
      <protection locked="0"/>
    </xf>
    <xf numFmtId="3" fontId="6" fillId="36" borderId="74" xfId="0" applyNumberFormat="1" applyFont="1" applyFill="1" applyBorder="1" applyAlignment="1" applyProtection="1">
      <alignment vertical="center"/>
      <protection locked="0"/>
    </xf>
    <xf numFmtId="3" fontId="6" fillId="36" borderId="75" xfId="0" applyNumberFormat="1" applyFont="1" applyFill="1" applyBorder="1" applyAlignment="1" applyProtection="1">
      <alignment vertical="center"/>
      <protection locked="0"/>
    </xf>
    <xf numFmtId="164" fontId="3" fillId="36" borderId="76" xfId="0" applyNumberFormat="1" applyFont="1" applyFill="1" applyBorder="1" applyAlignment="1" applyProtection="1">
      <alignment vertical="center" wrapText="1"/>
      <protection locked="0"/>
    </xf>
    <xf numFmtId="164" fontId="3" fillId="36" borderId="77" xfId="0" applyNumberFormat="1" applyFont="1" applyFill="1" applyBorder="1" applyAlignment="1" applyProtection="1">
      <alignment vertical="center" wrapText="1"/>
      <protection locked="0"/>
    </xf>
    <xf numFmtId="3" fontId="3" fillId="36" borderId="76" xfId="0" applyNumberFormat="1" applyFont="1" applyFill="1" applyBorder="1" applyAlignment="1" applyProtection="1">
      <alignment vertical="center" wrapText="1"/>
      <protection locked="0"/>
    </xf>
    <xf numFmtId="3" fontId="3" fillId="36" borderId="77" xfId="0" applyNumberFormat="1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vertical="center"/>
      <protection/>
    </xf>
    <xf numFmtId="164" fontId="6" fillId="36" borderId="45" xfId="0" applyNumberFormat="1" applyFont="1" applyFill="1" applyBorder="1" applyAlignment="1" applyProtection="1">
      <alignment vertical="center"/>
      <protection/>
    </xf>
    <xf numFmtId="164" fontId="6" fillId="36" borderId="19" xfId="0" applyNumberFormat="1" applyFont="1" applyFill="1" applyBorder="1" applyAlignment="1" applyProtection="1">
      <alignment vertical="center"/>
      <protection/>
    </xf>
    <xf numFmtId="164" fontId="6" fillId="36" borderId="48" xfId="0" applyNumberFormat="1" applyFont="1" applyFill="1" applyBorder="1" applyAlignment="1" applyProtection="1">
      <alignment vertical="center"/>
      <protection/>
    </xf>
    <xf numFmtId="3" fontId="6" fillId="36" borderId="19" xfId="0" applyNumberFormat="1" applyFont="1" applyFill="1" applyBorder="1" applyAlignment="1" applyProtection="1">
      <alignment vertical="center"/>
      <protection/>
    </xf>
    <xf numFmtId="3" fontId="6" fillId="36" borderId="49" xfId="0" applyNumberFormat="1" applyFont="1" applyFill="1" applyBorder="1" applyAlignment="1" applyProtection="1">
      <alignment vertical="center"/>
      <protection/>
    </xf>
    <xf numFmtId="3" fontId="6" fillId="36" borderId="50" xfId="0" applyNumberFormat="1" applyFont="1" applyFill="1" applyBorder="1" applyAlignment="1" applyProtection="1">
      <alignment vertical="center"/>
      <protection/>
    </xf>
    <xf numFmtId="0" fontId="6" fillId="36" borderId="78" xfId="0" applyFont="1" applyFill="1" applyBorder="1" applyAlignment="1" applyProtection="1">
      <alignment vertical="center" wrapText="1"/>
      <protection/>
    </xf>
    <xf numFmtId="164" fontId="6" fillId="36" borderId="79" xfId="0" applyNumberFormat="1" applyFont="1" applyFill="1" applyBorder="1" applyAlignment="1" applyProtection="1">
      <alignment vertical="center" wrapText="1"/>
      <protection locked="0"/>
    </xf>
    <xf numFmtId="164" fontId="6" fillId="36" borderId="80" xfId="0" applyNumberFormat="1" applyFont="1" applyFill="1" applyBorder="1" applyAlignment="1" applyProtection="1">
      <alignment vertical="center"/>
      <protection/>
    </xf>
    <xf numFmtId="164" fontId="6" fillId="36" borderId="81" xfId="0" applyNumberFormat="1" applyFont="1" applyFill="1" applyBorder="1" applyAlignment="1" applyProtection="1">
      <alignment vertical="center"/>
      <protection/>
    </xf>
    <xf numFmtId="164" fontId="6" fillId="36" borderId="82" xfId="0" applyNumberFormat="1" applyFont="1" applyFill="1" applyBorder="1" applyAlignment="1" applyProtection="1">
      <alignment vertical="center" wrapText="1"/>
      <protection locked="0"/>
    </xf>
    <xf numFmtId="0" fontId="3" fillId="36" borderId="83" xfId="0" applyFont="1" applyFill="1" applyBorder="1" applyAlignment="1" applyProtection="1">
      <alignment vertical="center" wrapText="1"/>
      <protection/>
    </xf>
    <xf numFmtId="0" fontId="3" fillId="36" borderId="84" xfId="0" applyFont="1" applyFill="1" applyBorder="1" applyAlignment="1" applyProtection="1">
      <alignment horizontal="center" vertical="center" wrapText="1"/>
      <protection/>
    </xf>
    <xf numFmtId="10" fontId="3" fillId="36" borderId="85" xfId="0" applyNumberFormat="1" applyFont="1" applyFill="1" applyBorder="1" applyAlignment="1" applyProtection="1">
      <alignment horizontal="center" vertical="center"/>
      <protection/>
    </xf>
    <xf numFmtId="0" fontId="3" fillId="36" borderId="86" xfId="0" applyFont="1" applyFill="1" applyBorder="1" applyAlignment="1" applyProtection="1">
      <alignment vertical="center" wrapText="1"/>
      <protection/>
    </xf>
    <xf numFmtId="0" fontId="3" fillId="36" borderId="87" xfId="0" applyFont="1" applyFill="1" applyBorder="1" applyAlignment="1" applyProtection="1">
      <alignment horizontal="center" vertical="center" wrapText="1"/>
      <protection/>
    </xf>
    <xf numFmtId="10" fontId="3" fillId="36" borderId="88" xfId="0" applyNumberFormat="1" applyFont="1" applyFill="1" applyBorder="1" applyAlignment="1" applyProtection="1">
      <alignment horizontal="center" vertical="center"/>
      <protection/>
    </xf>
    <xf numFmtId="4" fontId="6" fillId="36" borderId="89" xfId="0" applyNumberFormat="1" applyFont="1" applyFill="1" applyBorder="1" applyAlignment="1" applyProtection="1">
      <alignment vertical="center"/>
      <protection locked="0"/>
    </xf>
    <xf numFmtId="4" fontId="6" fillId="36" borderId="90" xfId="0" applyNumberFormat="1" applyFont="1" applyFill="1" applyBorder="1" applyAlignment="1" applyProtection="1">
      <alignment vertical="center"/>
      <protection locked="0"/>
    </xf>
    <xf numFmtId="4" fontId="6" fillId="36" borderId="91" xfId="0" applyNumberFormat="1" applyFont="1" applyFill="1" applyBorder="1" applyAlignment="1" applyProtection="1">
      <alignment vertical="center"/>
      <protection locked="0"/>
    </xf>
    <xf numFmtId="4" fontId="7" fillId="36" borderId="92" xfId="0" applyNumberFormat="1" applyFont="1" applyFill="1" applyBorder="1" applyAlignment="1" applyProtection="1">
      <alignment vertical="center"/>
      <protection/>
    </xf>
    <xf numFmtId="4" fontId="3" fillId="36" borderId="93" xfId="0" applyNumberFormat="1" applyFont="1" applyFill="1" applyBorder="1" applyAlignment="1" applyProtection="1">
      <alignment vertical="center"/>
      <protection/>
    </xf>
    <xf numFmtId="4" fontId="3" fillId="36" borderId="89" xfId="0" applyNumberFormat="1" applyFont="1" applyFill="1" applyBorder="1" applyAlignment="1" applyProtection="1">
      <alignment vertical="center"/>
      <protection/>
    </xf>
    <xf numFmtId="4" fontId="6" fillId="36" borderId="94" xfId="0" applyNumberFormat="1" applyFont="1" applyFill="1" applyBorder="1" applyAlignment="1" applyProtection="1">
      <alignment vertical="center"/>
      <protection locked="0"/>
    </xf>
    <xf numFmtId="4" fontId="6" fillId="36" borderId="95" xfId="0" applyNumberFormat="1" applyFont="1" applyFill="1" applyBorder="1" applyAlignment="1" applyProtection="1">
      <alignment vertical="center"/>
      <protection locked="0"/>
    </xf>
    <xf numFmtId="4" fontId="6" fillId="36" borderId="96" xfId="0" applyNumberFormat="1" applyFont="1" applyFill="1" applyBorder="1" applyAlignment="1" applyProtection="1">
      <alignment vertical="center"/>
      <protection locked="0"/>
    </xf>
    <xf numFmtId="4" fontId="3" fillId="36" borderId="97" xfId="0" applyNumberFormat="1" applyFont="1" applyFill="1" applyBorder="1" applyAlignment="1" applyProtection="1">
      <alignment vertical="center" wrapText="1"/>
      <protection locked="0"/>
    </xf>
    <xf numFmtId="4" fontId="6" fillId="36" borderId="89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vertical="center" wrapText="1"/>
      <protection locked="0"/>
    </xf>
    <xf numFmtId="3" fontId="3" fillId="36" borderId="98" xfId="0" applyNumberFormat="1" applyFont="1" applyFill="1" applyBorder="1" applyAlignment="1" applyProtection="1">
      <alignment vertical="center"/>
      <protection/>
    </xf>
    <xf numFmtId="3" fontId="3" fillId="36" borderId="99" xfId="0" applyNumberFormat="1" applyFont="1" applyFill="1" applyBorder="1" applyAlignment="1" applyProtection="1">
      <alignment vertical="center"/>
      <protection/>
    </xf>
    <xf numFmtId="3" fontId="6" fillId="36" borderId="80" xfId="0" applyNumberFormat="1" applyFont="1" applyFill="1" applyBorder="1" applyAlignment="1" applyProtection="1">
      <alignment vertical="center"/>
      <protection/>
    </xf>
    <xf numFmtId="3" fontId="6" fillId="36" borderId="100" xfId="0" applyNumberFormat="1" applyFont="1" applyFill="1" applyBorder="1" applyAlignment="1" applyProtection="1">
      <alignment vertical="center"/>
      <protection/>
    </xf>
    <xf numFmtId="3" fontId="6" fillId="36" borderId="101" xfId="0" applyNumberFormat="1" applyFont="1" applyFill="1" applyBorder="1" applyAlignment="1" applyProtection="1">
      <alignment vertical="center"/>
      <protection/>
    </xf>
    <xf numFmtId="3" fontId="6" fillId="36" borderId="102" xfId="0" applyNumberFormat="1" applyFont="1" applyFill="1" applyBorder="1" applyAlignment="1" applyProtection="1">
      <alignment vertical="center"/>
      <protection/>
    </xf>
    <xf numFmtId="10" fontId="3" fillId="36" borderId="103" xfId="0" applyNumberFormat="1" applyFont="1" applyFill="1" applyBorder="1" applyAlignment="1" applyProtection="1">
      <alignment vertical="center"/>
      <protection/>
    </xf>
    <xf numFmtId="10" fontId="3" fillId="36" borderId="104" xfId="0" applyNumberFormat="1" applyFont="1" applyFill="1" applyBorder="1" applyAlignment="1" applyProtection="1">
      <alignment vertical="center"/>
      <protection/>
    </xf>
    <xf numFmtId="0" fontId="49" fillId="0" borderId="0" xfId="0" applyFont="1" applyAlignment="1">
      <alignment/>
    </xf>
    <xf numFmtId="10" fontId="3" fillId="36" borderId="105" xfId="0" applyNumberFormat="1" applyFont="1" applyFill="1" applyBorder="1" applyAlignment="1" applyProtection="1">
      <alignment vertical="center"/>
      <protection/>
    </xf>
    <xf numFmtId="10" fontId="3" fillId="36" borderId="85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Alignment="1">
      <alignment/>
    </xf>
    <xf numFmtId="10" fontId="3" fillId="36" borderId="106" xfId="0" applyNumberFormat="1" applyFont="1" applyFill="1" applyBorder="1" applyAlignment="1" applyProtection="1">
      <alignment vertical="center"/>
      <protection/>
    </xf>
    <xf numFmtId="0" fontId="49" fillId="37" borderId="0" xfId="0" applyFont="1" applyFill="1" applyAlignment="1">
      <alignment/>
    </xf>
    <xf numFmtId="10" fontId="3" fillId="36" borderId="107" xfId="0" applyNumberFormat="1" applyFont="1" applyFill="1" applyBorder="1" applyAlignment="1" applyProtection="1">
      <alignment horizontal="center" vertical="center"/>
      <protection/>
    </xf>
    <xf numFmtId="4" fontId="8" fillId="36" borderId="93" xfId="0" applyNumberFormat="1" applyFont="1" applyFill="1" applyBorder="1" applyAlignment="1" applyProtection="1">
      <alignment vertical="center"/>
      <protection/>
    </xf>
    <xf numFmtId="4" fontId="3" fillId="36" borderId="108" xfId="0" applyNumberFormat="1" applyFont="1" applyFill="1" applyBorder="1" applyAlignment="1" applyProtection="1">
      <alignment vertical="center"/>
      <protection/>
    </xf>
    <xf numFmtId="4" fontId="6" fillId="36" borderId="108" xfId="0" applyNumberFormat="1" applyFont="1" applyFill="1" applyBorder="1" applyAlignment="1" applyProtection="1">
      <alignment vertical="center"/>
      <protection locked="0"/>
    </xf>
    <xf numFmtId="4" fontId="3" fillId="36" borderId="109" xfId="0" applyNumberFormat="1" applyFont="1" applyFill="1" applyBorder="1" applyAlignment="1" applyProtection="1">
      <alignment vertical="center"/>
      <protection/>
    </xf>
    <xf numFmtId="4" fontId="6" fillId="36" borderId="110" xfId="0" applyNumberFormat="1" applyFont="1" applyFill="1" applyBorder="1" applyAlignment="1" applyProtection="1">
      <alignment vertical="center"/>
      <protection/>
    </xf>
    <xf numFmtId="10" fontId="3" fillId="36" borderId="11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0" fontId="3" fillId="36" borderId="112" xfId="0" applyNumberFormat="1" applyFont="1" applyFill="1" applyBorder="1" applyAlignment="1" applyProtection="1">
      <alignment vertical="center"/>
      <protection/>
    </xf>
    <xf numFmtId="10" fontId="3" fillId="36" borderId="113" xfId="0" applyNumberFormat="1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Alignment="1">
      <alignment/>
    </xf>
    <xf numFmtId="3" fontId="3" fillId="36" borderId="114" xfId="0" applyNumberFormat="1" applyFont="1" applyFill="1" applyBorder="1" applyAlignment="1" applyProtection="1">
      <alignment vertical="center" wrapText="1"/>
      <protection locked="0"/>
    </xf>
    <xf numFmtId="164" fontId="6" fillId="36" borderId="63" xfId="0" applyNumberFormat="1" applyFont="1" applyFill="1" applyBorder="1" applyAlignment="1" applyProtection="1">
      <alignment vertical="center"/>
      <protection/>
    </xf>
    <xf numFmtId="164" fontId="6" fillId="36" borderId="64" xfId="0" applyNumberFormat="1" applyFont="1" applyFill="1" applyBorder="1" applyAlignment="1" applyProtection="1">
      <alignment vertical="center"/>
      <protection/>
    </xf>
    <xf numFmtId="4" fontId="6" fillId="36" borderId="94" xfId="0" applyNumberFormat="1" applyFont="1" applyFill="1" applyBorder="1" applyAlignment="1" applyProtection="1">
      <alignment vertical="center"/>
      <protection/>
    </xf>
    <xf numFmtId="164" fontId="3" fillId="36" borderId="103" xfId="0" applyNumberFormat="1" applyFont="1" applyFill="1" applyBorder="1" applyAlignment="1" applyProtection="1">
      <alignment vertical="center"/>
      <protection/>
    </xf>
    <xf numFmtId="164" fontId="3" fillId="36" borderId="105" xfId="0" applyNumberFormat="1" applyFont="1" applyFill="1" applyBorder="1" applyAlignment="1" applyProtection="1">
      <alignment vertical="center"/>
      <protection/>
    </xf>
    <xf numFmtId="164" fontId="3" fillId="36" borderId="85" xfId="0" applyNumberFormat="1" applyFont="1" applyFill="1" applyBorder="1" applyAlignment="1" applyProtection="1">
      <alignment vertical="center"/>
      <protection/>
    </xf>
    <xf numFmtId="4" fontId="3" fillId="36" borderId="111" xfId="0" applyNumberFormat="1" applyFont="1" applyFill="1" applyBorder="1" applyAlignment="1" applyProtection="1">
      <alignment vertical="center"/>
      <protection/>
    </xf>
    <xf numFmtId="10" fontId="3" fillId="38" borderId="115" xfId="0" applyNumberFormat="1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horizontal="center" vertical="center" wrapText="1"/>
      <protection locked="0"/>
    </xf>
    <xf numFmtId="3" fontId="6" fillId="36" borderId="45" xfId="0" applyNumberFormat="1" applyFont="1" applyFill="1" applyBorder="1" applyAlignment="1" applyProtection="1">
      <alignment vertical="center"/>
      <protection locked="0"/>
    </xf>
    <xf numFmtId="3" fontId="3" fillId="36" borderId="97" xfId="0" applyNumberFormat="1" applyFont="1" applyFill="1" applyBorder="1" applyAlignment="1" applyProtection="1">
      <alignment vertical="center" wrapText="1"/>
      <protection locked="0"/>
    </xf>
    <xf numFmtId="3" fontId="49" fillId="37" borderId="0" xfId="0" applyNumberFormat="1" applyFont="1" applyFill="1" applyAlignment="1">
      <alignment/>
    </xf>
    <xf numFmtId="0" fontId="49" fillId="37" borderId="0" xfId="0" applyNumberFormat="1" applyFont="1" applyFill="1" applyAlignment="1">
      <alignment/>
    </xf>
    <xf numFmtId="167" fontId="49" fillId="37" borderId="0" xfId="0" applyNumberFormat="1" applyFont="1" applyFill="1" applyAlignment="1">
      <alignment/>
    </xf>
    <xf numFmtId="4" fontId="49" fillId="38" borderId="0" xfId="0" applyNumberFormat="1" applyFont="1" applyFill="1" applyAlignment="1">
      <alignment/>
    </xf>
    <xf numFmtId="166" fontId="49" fillId="37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right"/>
    </xf>
    <xf numFmtId="4" fontId="3" fillId="36" borderId="116" xfId="0" applyNumberFormat="1" applyFont="1" applyFill="1" applyBorder="1" applyAlignment="1" applyProtection="1">
      <alignment vertical="center"/>
      <protection/>
    </xf>
    <xf numFmtId="4" fontId="6" fillId="36" borderId="117" xfId="0" applyNumberFormat="1" applyFont="1" applyFill="1" applyBorder="1" applyAlignment="1" applyProtection="1">
      <alignment vertical="center"/>
      <protection locked="0"/>
    </xf>
    <xf numFmtId="4" fontId="3" fillId="36" borderId="92" xfId="0" applyNumberFormat="1" applyFont="1" applyFill="1" applyBorder="1" applyAlignment="1" applyProtection="1">
      <alignment vertical="center"/>
      <protection/>
    </xf>
    <xf numFmtId="164" fontId="3" fillId="36" borderId="118" xfId="0" applyNumberFormat="1" applyFont="1" applyFill="1" applyBorder="1" applyAlignment="1" applyProtection="1">
      <alignment vertical="center"/>
      <protection/>
    </xf>
    <xf numFmtId="4" fontId="3" fillId="36" borderId="119" xfId="0" applyNumberFormat="1" applyFont="1" applyFill="1" applyBorder="1" applyAlignment="1" applyProtection="1">
      <alignment vertical="center"/>
      <protection/>
    </xf>
    <xf numFmtId="4" fontId="0" fillId="0" borderId="100" xfId="0" applyNumberFormat="1" applyFont="1" applyBorder="1" applyAlignment="1">
      <alignment horizontal="right"/>
    </xf>
    <xf numFmtId="0" fontId="3" fillId="36" borderId="120" xfId="0" applyFont="1" applyFill="1" applyBorder="1" applyAlignment="1" applyProtection="1">
      <alignment vertical="center" wrapText="1"/>
      <protection/>
    </xf>
    <xf numFmtId="0" fontId="6" fillId="36" borderId="121" xfId="0" applyFont="1" applyFill="1" applyBorder="1" applyAlignment="1" applyProtection="1">
      <alignment vertical="center" wrapText="1"/>
      <protection/>
    </xf>
    <xf numFmtId="0" fontId="6" fillId="36" borderId="122" xfId="0" applyFont="1" applyFill="1" applyBorder="1" applyAlignment="1" applyProtection="1">
      <alignment vertical="center" wrapText="1"/>
      <protection/>
    </xf>
    <xf numFmtId="0" fontId="6" fillId="36" borderId="123" xfId="0" applyFont="1" applyFill="1" applyBorder="1" applyAlignment="1" applyProtection="1">
      <alignment vertical="center" wrapText="1"/>
      <protection/>
    </xf>
    <xf numFmtId="3" fontId="3" fillId="36" borderId="124" xfId="0" applyNumberFormat="1" applyFont="1" applyFill="1" applyBorder="1" applyAlignment="1" applyProtection="1">
      <alignment vertical="center"/>
      <protection/>
    </xf>
    <xf numFmtId="3" fontId="3" fillId="36" borderId="125" xfId="0" applyNumberFormat="1" applyFont="1" applyFill="1" applyBorder="1" applyAlignment="1" applyProtection="1">
      <alignment vertical="center"/>
      <protection/>
    </xf>
    <xf numFmtId="3" fontId="3" fillId="36" borderId="118" xfId="0" applyNumberFormat="1" applyFont="1" applyFill="1" applyBorder="1" applyAlignment="1" applyProtection="1">
      <alignment vertical="center"/>
      <protection/>
    </xf>
    <xf numFmtId="3" fontId="6" fillId="36" borderId="126" xfId="0" applyNumberFormat="1" applyFont="1" applyFill="1" applyBorder="1" applyAlignment="1" applyProtection="1">
      <alignment vertical="center"/>
      <protection locked="0"/>
    </xf>
    <xf numFmtId="3" fontId="50" fillId="38" borderId="58" xfId="0" applyNumberFormat="1" applyFont="1" applyFill="1" applyBorder="1" applyAlignment="1" applyProtection="1">
      <alignment vertical="center"/>
      <protection/>
    </xf>
    <xf numFmtId="4" fontId="49" fillId="37" borderId="0" xfId="0" applyNumberFormat="1" applyFont="1" applyFill="1" applyAlignment="1">
      <alignment/>
    </xf>
    <xf numFmtId="0" fontId="3" fillId="36" borderId="127" xfId="0" applyFont="1" applyFill="1" applyBorder="1" applyAlignment="1" applyProtection="1">
      <alignment vertical="center" wrapText="1"/>
      <protection/>
    </xf>
    <xf numFmtId="4" fontId="0" fillId="0" borderId="48" xfId="0" applyNumberFormat="1" applyFont="1" applyBorder="1" applyAlignment="1">
      <alignment horizontal="right"/>
    </xf>
    <xf numFmtId="4" fontId="0" fillId="0" borderId="128" xfId="0" applyNumberFormat="1" applyFont="1" applyBorder="1" applyAlignment="1">
      <alignment horizontal="right"/>
    </xf>
    <xf numFmtId="164" fontId="6" fillId="36" borderId="89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 wrapText="1"/>
      <protection locked="0"/>
    </xf>
    <xf numFmtId="166" fontId="6" fillId="36" borderId="90" xfId="0" applyNumberFormat="1" applyFont="1" applyFill="1" applyBorder="1" applyAlignment="1" applyProtection="1">
      <alignment vertical="center"/>
      <protection locked="0"/>
    </xf>
    <xf numFmtId="4" fontId="0" fillId="0" borderId="110" xfId="0" applyNumberFormat="1" applyFont="1" applyBorder="1" applyAlignment="1">
      <alignment horizontal="right"/>
    </xf>
    <xf numFmtId="4" fontId="0" fillId="0" borderId="90" xfId="0" applyNumberFormat="1" applyFont="1" applyBorder="1" applyAlignment="1">
      <alignment horizontal="right"/>
    </xf>
    <xf numFmtId="4" fontId="0" fillId="0" borderId="117" xfId="0" applyNumberFormat="1" applyFont="1" applyBorder="1" applyAlignment="1">
      <alignment horizontal="right"/>
    </xf>
    <xf numFmtId="4" fontId="50" fillId="36" borderId="92" xfId="0" applyNumberFormat="1" applyFont="1" applyFill="1" applyBorder="1" applyAlignment="1" applyProtection="1">
      <alignment vertical="center"/>
      <protection/>
    </xf>
    <xf numFmtId="3" fontId="6" fillId="36" borderId="90" xfId="0" applyNumberFormat="1" applyFont="1" applyFill="1" applyBorder="1" applyAlignment="1" applyProtection="1">
      <alignment vertical="center"/>
      <protection locked="0"/>
    </xf>
    <xf numFmtId="3" fontId="6" fillId="36" borderId="91" xfId="0" applyNumberFormat="1" applyFont="1" applyFill="1" applyBorder="1" applyAlignment="1" applyProtection="1">
      <alignment vertical="center"/>
      <protection locked="0"/>
    </xf>
    <xf numFmtId="3" fontId="6" fillId="36" borderId="96" xfId="0" applyNumberFormat="1" applyFont="1" applyFill="1" applyBorder="1" applyAlignment="1" applyProtection="1">
      <alignment vertical="center"/>
      <protection locked="0"/>
    </xf>
    <xf numFmtId="3" fontId="6" fillId="36" borderId="89" xfId="0" applyNumberFormat="1" applyFont="1" applyFill="1" applyBorder="1" applyAlignment="1" applyProtection="1">
      <alignment vertical="center"/>
      <protection locked="0"/>
    </xf>
    <xf numFmtId="3" fontId="6" fillId="36" borderId="94" xfId="0" applyNumberFormat="1" applyFont="1" applyFill="1" applyBorder="1" applyAlignment="1" applyProtection="1">
      <alignment vertical="center"/>
      <protection locked="0"/>
    </xf>
    <xf numFmtId="3" fontId="6" fillId="36" borderId="90" xfId="0" applyNumberFormat="1" applyFont="1" applyFill="1" applyBorder="1" applyAlignment="1" applyProtection="1">
      <alignment vertical="center"/>
      <protection/>
    </xf>
    <xf numFmtId="3" fontId="6" fillId="36" borderId="117" xfId="0" applyNumberFormat="1" applyFont="1" applyFill="1" applyBorder="1" applyAlignment="1" applyProtection="1">
      <alignment vertical="center"/>
      <protection/>
    </xf>
    <xf numFmtId="164" fontId="6" fillId="36" borderId="89" xfId="0" applyNumberFormat="1" applyFont="1" applyFill="1" applyBorder="1" applyAlignment="1" applyProtection="1">
      <alignment horizontal="right" vertical="center"/>
      <protection/>
    </xf>
    <xf numFmtId="166" fontId="6" fillId="36" borderId="90" xfId="0" applyNumberFormat="1" applyFont="1" applyFill="1" applyBorder="1" applyAlignment="1" applyProtection="1">
      <alignment vertical="center"/>
      <protection/>
    </xf>
    <xf numFmtId="10" fontId="3" fillId="36" borderId="129" xfId="0" applyNumberFormat="1" applyFont="1" applyFill="1" applyBorder="1" applyAlignment="1" applyProtection="1">
      <alignment vertical="center"/>
      <protection/>
    </xf>
    <xf numFmtId="4" fontId="3" fillId="36" borderId="130" xfId="0" applyNumberFormat="1" applyFont="1" applyFill="1" applyBorder="1" applyAlignment="1" applyProtection="1">
      <alignment vertical="center"/>
      <protection/>
    </xf>
    <xf numFmtId="10" fontId="3" fillId="36" borderId="131" xfId="0" applyNumberFormat="1" applyFont="1" applyFill="1" applyBorder="1" applyAlignment="1" applyProtection="1">
      <alignment vertical="center"/>
      <protection/>
    </xf>
    <xf numFmtId="10" fontId="3" fillId="36" borderId="132" xfId="0" applyNumberFormat="1" applyFont="1" applyFill="1" applyBorder="1" applyAlignment="1" applyProtection="1">
      <alignment horizontal="center" vertical="center"/>
      <protection/>
    </xf>
    <xf numFmtId="164" fontId="6" fillId="36" borderId="91" xfId="0" applyNumberFormat="1" applyFont="1" applyFill="1" applyBorder="1" applyAlignment="1" applyProtection="1">
      <alignment vertical="center"/>
      <protection locked="0"/>
    </xf>
    <xf numFmtId="164" fontId="6" fillId="36" borderId="117" xfId="0" applyNumberFormat="1" applyFont="1" applyFill="1" applyBorder="1" applyAlignment="1" applyProtection="1">
      <alignment vertical="center"/>
      <protection locked="0"/>
    </xf>
    <xf numFmtId="3" fontId="3" fillId="38" borderId="55" xfId="0" applyNumberFormat="1" applyFont="1" applyFill="1" applyBorder="1" applyAlignment="1" applyProtection="1">
      <alignment vertical="center"/>
      <protection/>
    </xf>
    <xf numFmtId="3" fontId="7" fillId="38" borderId="58" xfId="0" applyNumberFormat="1" applyFont="1" applyFill="1" applyBorder="1" applyAlignment="1" applyProtection="1">
      <alignment vertical="center"/>
      <protection/>
    </xf>
    <xf numFmtId="3" fontId="8" fillId="38" borderId="133" xfId="0" applyNumberFormat="1" applyFont="1" applyFill="1" applyBorder="1" applyAlignment="1" applyProtection="1">
      <alignment vertical="center"/>
      <protection/>
    </xf>
    <xf numFmtId="3" fontId="8" fillId="38" borderId="55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horizontal="right" vertical="center"/>
      <protection/>
    </xf>
    <xf numFmtId="4" fontId="6" fillId="36" borderId="134" xfId="0" applyNumberFormat="1" applyFont="1" applyFill="1" applyBorder="1" applyAlignment="1" applyProtection="1">
      <alignment vertical="center" wrapText="1"/>
      <protection locked="0"/>
    </xf>
    <xf numFmtId="4" fontId="6" fillId="36" borderId="135" xfId="0" applyNumberFormat="1" applyFont="1" applyFill="1" applyBorder="1" applyAlignment="1" applyProtection="1">
      <alignment vertical="center"/>
      <protection locked="0"/>
    </xf>
    <xf numFmtId="4" fontId="6" fillId="36" borderId="136" xfId="0" applyNumberFormat="1" applyFont="1" applyFill="1" applyBorder="1" applyAlignment="1" applyProtection="1">
      <alignment vertical="center"/>
      <protection locked="0"/>
    </xf>
    <xf numFmtId="4" fontId="6" fillId="36" borderId="80" xfId="0" applyNumberFormat="1" applyFont="1" applyFill="1" applyBorder="1" applyAlignment="1" applyProtection="1">
      <alignment vertical="center"/>
      <protection/>
    </xf>
    <xf numFmtId="4" fontId="6" fillId="36" borderId="19" xfId="0" applyNumberFormat="1" applyFont="1" applyFill="1" applyBorder="1" applyAlignment="1" applyProtection="1">
      <alignment vertical="center"/>
      <protection locked="0"/>
    </xf>
    <xf numFmtId="4" fontId="6" fillId="36" borderId="19" xfId="0" applyNumberFormat="1" applyFont="1" applyFill="1" applyBorder="1" applyAlignment="1" applyProtection="1">
      <alignment vertical="center"/>
      <protection/>
    </xf>
    <xf numFmtId="4" fontId="0" fillId="0" borderId="137" xfId="0" applyNumberFormat="1" applyFont="1" applyBorder="1" applyAlignment="1">
      <alignment/>
    </xf>
    <xf numFmtId="4" fontId="0" fillId="0" borderId="138" xfId="0" applyNumberFormat="1" applyFont="1" applyBorder="1" applyAlignment="1">
      <alignment/>
    </xf>
    <xf numFmtId="165" fontId="6" fillId="36" borderId="45" xfId="0" applyNumberFormat="1" applyFont="1" applyFill="1" applyBorder="1" applyAlignment="1" applyProtection="1">
      <alignment vertical="center"/>
      <protection locked="0"/>
    </xf>
    <xf numFmtId="4" fontId="0" fillId="0" borderId="139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89" xfId="0" applyNumberFormat="1" applyFont="1" applyBorder="1" applyAlignment="1">
      <alignment horizontal="right"/>
    </xf>
    <xf numFmtId="164" fontId="3" fillId="36" borderId="140" xfId="0" applyNumberFormat="1" applyFont="1" applyFill="1" applyBorder="1" applyAlignment="1" applyProtection="1">
      <alignment vertical="center"/>
      <protection/>
    </xf>
    <xf numFmtId="164" fontId="3" fillId="36" borderId="106" xfId="0" applyNumberFormat="1" applyFont="1" applyFill="1" applyBorder="1" applyAlignment="1" applyProtection="1">
      <alignment vertical="center"/>
      <protection/>
    </xf>
    <xf numFmtId="164" fontId="3" fillId="36" borderId="141" xfId="0" applyNumberFormat="1" applyFont="1" applyFill="1" applyBorder="1" applyAlignment="1" applyProtection="1">
      <alignment vertical="center"/>
      <protection/>
    </xf>
    <xf numFmtId="4" fontId="3" fillId="36" borderId="129" xfId="0" applyNumberFormat="1" applyFont="1" applyFill="1" applyBorder="1" applyAlignment="1" applyProtection="1">
      <alignment vertical="center"/>
      <protection/>
    </xf>
    <xf numFmtId="164" fontId="3" fillId="36" borderId="111" xfId="0" applyNumberFormat="1" applyFont="1" applyFill="1" applyBorder="1" applyAlignment="1" applyProtection="1">
      <alignment vertical="center"/>
      <protection/>
    </xf>
    <xf numFmtId="164" fontId="6" fillId="36" borderId="110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/>
      <protection locked="0"/>
    </xf>
    <xf numFmtId="10" fontId="3" fillId="36" borderId="142" xfId="0" applyNumberFormat="1" applyFont="1" applyFill="1" applyBorder="1" applyAlignment="1" applyProtection="1">
      <alignment horizontal="center" vertical="center"/>
      <protection/>
    </xf>
    <xf numFmtId="10" fontId="3" fillId="38" borderId="105" xfId="0" applyNumberFormat="1" applyFont="1" applyFill="1" applyBorder="1" applyAlignment="1" applyProtection="1">
      <alignment vertical="center"/>
      <protection/>
    </xf>
    <xf numFmtId="10" fontId="3" fillId="38" borderId="143" xfId="0" applyNumberFormat="1" applyFont="1" applyFill="1" applyBorder="1" applyAlignment="1" applyProtection="1">
      <alignment vertical="center"/>
      <protection/>
    </xf>
    <xf numFmtId="4" fontId="6" fillId="36" borderId="144" xfId="0" applyNumberFormat="1" applyFont="1" applyFill="1" applyBorder="1" applyAlignment="1" applyProtection="1">
      <alignment vertical="center"/>
      <protection/>
    </xf>
    <xf numFmtId="4" fontId="6" fillId="36" borderId="15" xfId="0" applyNumberFormat="1" applyFont="1" applyFill="1" applyBorder="1" applyAlignment="1" applyProtection="1">
      <alignment vertical="center"/>
      <protection/>
    </xf>
    <xf numFmtId="4" fontId="6" fillId="36" borderId="46" xfId="0" applyNumberFormat="1" applyFont="1" applyFill="1" applyBorder="1" applyAlignment="1" applyProtection="1">
      <alignment vertical="center"/>
      <protection/>
    </xf>
    <xf numFmtId="4" fontId="6" fillId="36" borderId="145" xfId="0" applyNumberFormat="1" applyFont="1" applyFill="1" applyBorder="1" applyAlignment="1" applyProtection="1">
      <alignment vertical="center"/>
      <protection/>
    </xf>
    <xf numFmtId="4" fontId="6" fillId="36" borderId="136" xfId="0" applyNumberFormat="1" applyFont="1" applyFill="1" applyBorder="1" applyAlignment="1" applyProtection="1">
      <alignment vertical="center"/>
      <protection/>
    </xf>
    <xf numFmtId="4" fontId="6" fillId="36" borderId="49" xfId="0" applyNumberFormat="1" applyFont="1" applyFill="1" applyBorder="1" applyAlignment="1" applyProtection="1">
      <alignment vertical="center"/>
      <protection/>
    </xf>
    <xf numFmtId="4" fontId="6" fillId="36" borderId="50" xfId="0" applyNumberFormat="1" applyFont="1" applyFill="1" applyBorder="1" applyAlignment="1" applyProtection="1">
      <alignment vertical="center"/>
      <protection/>
    </xf>
    <xf numFmtId="4" fontId="6" fillId="36" borderId="146" xfId="0" applyNumberFormat="1" applyFont="1" applyFill="1" applyBorder="1" applyAlignment="1" applyProtection="1">
      <alignment horizontal="right" vertical="center"/>
      <protection/>
    </xf>
    <xf numFmtId="4" fontId="6" fillId="36" borderId="147" xfId="0" applyNumberFormat="1" applyFont="1" applyFill="1" applyBorder="1" applyAlignment="1" applyProtection="1">
      <alignment horizontal="right" vertical="center"/>
      <protection/>
    </xf>
    <xf numFmtId="4" fontId="6" fillId="36" borderId="147" xfId="0" applyNumberFormat="1" applyFont="1" applyFill="1" applyBorder="1" applyAlignment="1" applyProtection="1">
      <alignment vertical="center" wrapText="1"/>
      <protection locked="0"/>
    </xf>
    <xf numFmtId="4" fontId="6" fillId="36" borderId="49" xfId="0" applyNumberFormat="1" applyFont="1" applyFill="1" applyBorder="1" applyAlignment="1" applyProtection="1">
      <alignment vertical="center"/>
      <protection locked="0"/>
    </xf>
    <xf numFmtId="4" fontId="6" fillId="36" borderId="50" xfId="0" applyNumberFormat="1" applyFont="1" applyFill="1" applyBorder="1" applyAlignment="1" applyProtection="1">
      <alignment vertical="center"/>
      <protection locked="0"/>
    </xf>
    <xf numFmtId="4" fontId="6" fillId="36" borderId="24" xfId="0" applyNumberFormat="1" applyFont="1" applyFill="1" applyBorder="1" applyAlignment="1" applyProtection="1">
      <alignment vertical="center"/>
      <protection locked="0"/>
    </xf>
    <xf numFmtId="4" fontId="6" fillId="36" borderId="71" xfId="0" applyNumberFormat="1" applyFont="1" applyFill="1" applyBorder="1" applyAlignment="1" applyProtection="1">
      <alignment vertical="center"/>
      <protection locked="0"/>
    </xf>
    <xf numFmtId="4" fontId="6" fillId="36" borderId="53" xfId="0" applyNumberFormat="1" applyFont="1" applyFill="1" applyBorder="1" applyAlignment="1" applyProtection="1">
      <alignment vertical="center"/>
      <protection locked="0"/>
    </xf>
    <xf numFmtId="3" fontId="3" fillId="36" borderId="109" xfId="0" applyNumberFormat="1" applyFont="1" applyFill="1" applyBorder="1" applyAlignment="1" applyProtection="1">
      <alignment vertical="center"/>
      <protection/>
    </xf>
    <xf numFmtId="3" fontId="6" fillId="36" borderId="110" xfId="0" applyNumberFormat="1" applyFont="1" applyFill="1" applyBorder="1" applyAlignment="1" applyProtection="1">
      <alignment vertical="center"/>
      <protection/>
    </xf>
    <xf numFmtId="0" fontId="3" fillId="38" borderId="39" xfId="0" applyFont="1" applyFill="1" applyBorder="1" applyAlignment="1" applyProtection="1">
      <alignment horizontal="center" vertical="center" wrapText="1"/>
      <protection locked="0"/>
    </xf>
    <xf numFmtId="4" fontId="50" fillId="38" borderId="92" xfId="0" applyNumberFormat="1" applyFont="1" applyFill="1" applyBorder="1" applyAlignment="1" applyProtection="1">
      <alignment vertical="center"/>
      <protection/>
    </xf>
    <xf numFmtId="4" fontId="51" fillId="38" borderId="93" xfId="0" applyNumberFormat="1" applyFont="1" applyFill="1" applyBorder="1" applyAlignment="1" applyProtection="1">
      <alignment vertical="center"/>
      <protection/>
    </xf>
    <xf numFmtId="10" fontId="3" fillId="38" borderId="111" xfId="0" applyNumberFormat="1" applyFont="1" applyFill="1" applyBorder="1" applyAlignment="1" applyProtection="1">
      <alignment vertical="center"/>
      <protection/>
    </xf>
    <xf numFmtId="0" fontId="3" fillId="36" borderId="148" xfId="0" applyFont="1" applyFill="1" applyBorder="1" applyAlignment="1" applyProtection="1">
      <alignment horizontal="center" vertical="center" wrapText="1"/>
      <protection locked="0"/>
    </xf>
    <xf numFmtId="4" fontId="6" fillId="36" borderId="146" xfId="0" applyNumberFormat="1" applyFont="1" applyFill="1" applyBorder="1" applyAlignment="1" applyProtection="1">
      <alignment vertical="center" wrapText="1"/>
      <protection locked="0"/>
    </xf>
    <xf numFmtId="4" fontId="3" fillId="36" borderId="55" xfId="0" applyNumberFormat="1" applyFont="1" applyFill="1" applyBorder="1" applyAlignment="1" applyProtection="1">
      <alignment vertical="center"/>
      <protection/>
    </xf>
    <xf numFmtId="4" fontId="3" fillId="36" borderId="125" xfId="0" applyNumberFormat="1" applyFont="1" applyFill="1" applyBorder="1" applyAlignment="1" applyProtection="1">
      <alignment vertical="center"/>
      <protection/>
    </xf>
    <xf numFmtId="4" fontId="6" fillId="36" borderId="15" xfId="0" applyNumberFormat="1" applyFont="1" applyFill="1" applyBorder="1" applyAlignment="1" applyProtection="1">
      <alignment vertical="center"/>
      <protection locked="0"/>
    </xf>
    <xf numFmtId="4" fontId="3" fillId="36" borderId="60" xfId="0" applyNumberFormat="1" applyFont="1" applyFill="1" applyBorder="1" applyAlignment="1" applyProtection="1">
      <alignment vertical="center"/>
      <protection/>
    </xf>
    <xf numFmtId="4" fontId="6" fillId="36" borderId="63" xfId="0" applyNumberFormat="1" applyFont="1" applyFill="1" applyBorder="1" applyAlignment="1" applyProtection="1">
      <alignment vertical="center"/>
      <protection locked="0"/>
    </xf>
    <xf numFmtId="4" fontId="3" fillId="36" borderId="149" xfId="0" applyNumberFormat="1" applyFont="1" applyFill="1" applyBorder="1" applyAlignment="1" applyProtection="1">
      <alignment vertical="center"/>
      <protection/>
    </xf>
    <xf numFmtId="4" fontId="6" fillId="36" borderId="70" xfId="0" applyNumberFormat="1" applyFont="1" applyFill="1" applyBorder="1" applyAlignment="1" applyProtection="1">
      <alignment vertical="center"/>
      <protection locked="0"/>
    </xf>
    <xf numFmtId="4" fontId="3" fillId="36" borderId="98" xfId="0" applyNumberFormat="1" applyFont="1" applyFill="1" applyBorder="1" applyAlignment="1" applyProtection="1">
      <alignment vertical="center"/>
      <protection/>
    </xf>
    <xf numFmtId="10" fontId="3" fillId="36" borderId="130" xfId="0" applyNumberFormat="1" applyFont="1" applyFill="1" applyBorder="1" applyAlignment="1" applyProtection="1">
      <alignment vertical="center"/>
      <protection/>
    </xf>
    <xf numFmtId="10" fontId="3" fillId="36" borderId="150" xfId="0" applyNumberFormat="1" applyFont="1" applyFill="1" applyBorder="1" applyAlignment="1" applyProtection="1">
      <alignment vertical="center"/>
      <protection/>
    </xf>
    <xf numFmtId="10" fontId="3" fillId="36" borderId="151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90" xfId="0" applyNumberFormat="1" applyFont="1" applyBorder="1" applyAlignment="1">
      <alignment horizontal="right" vertical="center"/>
    </xf>
    <xf numFmtId="3" fontId="0" fillId="0" borderId="134" xfId="0" applyNumberFormat="1" applyFont="1" applyBorder="1" applyAlignment="1">
      <alignment horizontal="right" vertical="center"/>
    </xf>
    <xf numFmtId="3" fontId="0" fillId="0" borderId="80" xfId="0" applyNumberFormat="1" applyFont="1" applyBorder="1" applyAlignment="1">
      <alignment horizontal="right" vertical="center"/>
    </xf>
    <xf numFmtId="4" fontId="0" fillId="0" borderId="80" xfId="0" applyNumberFormat="1" applyFont="1" applyBorder="1" applyAlignment="1">
      <alignment horizontal="right" vertical="center"/>
    </xf>
    <xf numFmtId="3" fontId="0" fillId="0" borderId="81" xfId="0" applyNumberFormat="1" applyFont="1" applyBorder="1" applyAlignment="1">
      <alignment horizontal="right" vertical="center"/>
    </xf>
    <xf numFmtId="3" fontId="0" fillId="0" borderId="152" xfId="0" applyNumberFormat="1" applyFont="1" applyBorder="1" applyAlignment="1">
      <alignment horizontal="right" vertical="center"/>
    </xf>
    <xf numFmtId="3" fontId="0" fillId="0" borderId="100" xfId="0" applyNumberFormat="1" applyFont="1" applyBorder="1" applyAlignment="1">
      <alignment horizontal="right" vertical="center"/>
    </xf>
    <xf numFmtId="4" fontId="0" fillId="0" borderId="100" xfId="0" applyNumberFormat="1" applyFont="1" applyBorder="1" applyAlignment="1">
      <alignment horizontal="right" vertical="center"/>
    </xf>
    <xf numFmtId="3" fontId="0" fillId="0" borderId="128" xfId="0" applyNumberFormat="1" applyFont="1" applyBorder="1" applyAlignment="1">
      <alignment horizontal="right" vertical="center"/>
    </xf>
    <xf numFmtId="3" fontId="0" fillId="0" borderId="117" xfId="0" applyNumberFormat="1" applyFont="1" applyBorder="1" applyAlignment="1">
      <alignment horizontal="right" vertical="center"/>
    </xf>
    <xf numFmtId="3" fontId="0" fillId="0" borderId="153" xfId="0" applyNumberFormat="1" applyFont="1" applyBorder="1" applyAlignment="1">
      <alignment horizontal="right" vertical="center"/>
    </xf>
    <xf numFmtId="3" fontId="0" fillId="0" borderId="154" xfId="0" applyNumberFormat="1" applyFont="1" applyBorder="1" applyAlignment="1">
      <alignment horizontal="right" vertical="center"/>
    </xf>
    <xf numFmtId="3" fontId="0" fillId="0" borderId="155" xfId="0" applyNumberFormat="1" applyFont="1" applyBorder="1" applyAlignment="1">
      <alignment horizontal="right" vertical="center"/>
    </xf>
    <xf numFmtId="3" fontId="0" fillId="39" borderId="156" xfId="0" applyNumberFormat="1" applyFont="1" applyFill="1" applyBorder="1" applyAlignment="1">
      <alignment horizontal="right" vertical="center"/>
    </xf>
    <xf numFmtId="4" fontId="0" fillId="39" borderId="156" xfId="0" applyNumberFormat="1" applyFont="1" applyFill="1" applyBorder="1" applyAlignment="1">
      <alignment horizontal="right" vertical="center"/>
    </xf>
    <xf numFmtId="3" fontId="0" fillId="39" borderId="157" xfId="0" applyNumberFormat="1" applyFont="1" applyFill="1" applyBorder="1" applyAlignment="1">
      <alignment horizontal="right" vertical="center"/>
    </xf>
    <xf numFmtId="3" fontId="0" fillId="39" borderId="158" xfId="0" applyNumberFormat="1" applyFont="1" applyFill="1" applyBorder="1" applyAlignment="1">
      <alignment horizontal="right" vertical="center"/>
    </xf>
    <xf numFmtId="3" fontId="3" fillId="36" borderId="56" xfId="0" applyNumberFormat="1" applyFont="1" applyFill="1" applyBorder="1" applyAlignment="1" applyProtection="1">
      <alignment vertical="center"/>
      <protection/>
    </xf>
    <xf numFmtId="3" fontId="8" fillId="38" borderId="56" xfId="0" applyNumberFormat="1" applyFont="1" applyFill="1" applyBorder="1" applyAlignment="1" applyProtection="1">
      <alignment vertical="center"/>
      <protection/>
    </xf>
    <xf numFmtId="3" fontId="3" fillId="36" borderId="45" xfId="0" applyNumberFormat="1" applyFont="1" applyFill="1" applyBorder="1" applyAlignment="1" applyProtection="1">
      <alignment vertical="center"/>
      <protection/>
    </xf>
    <xf numFmtId="3" fontId="6" fillId="36" borderId="48" xfId="0" applyNumberFormat="1" applyFont="1" applyFill="1" applyBorder="1" applyAlignment="1" applyProtection="1">
      <alignment vertical="center"/>
      <protection locked="0"/>
    </xf>
    <xf numFmtId="3" fontId="6" fillId="36" borderId="64" xfId="0" applyNumberFormat="1" applyFont="1" applyFill="1" applyBorder="1" applyAlignment="1" applyProtection="1">
      <alignment vertical="center"/>
      <protection locked="0"/>
    </xf>
    <xf numFmtId="3" fontId="3" fillId="36" borderId="59" xfId="0" applyNumberFormat="1" applyFont="1" applyFill="1" applyBorder="1" applyAlignment="1" applyProtection="1">
      <alignment vertical="center"/>
      <protection/>
    </xf>
    <xf numFmtId="3" fontId="6" fillId="36" borderId="159" xfId="0" applyNumberFormat="1" applyFont="1" applyFill="1" applyBorder="1" applyAlignment="1" applyProtection="1">
      <alignment vertical="center"/>
      <protection locked="0"/>
    </xf>
    <xf numFmtId="3" fontId="6" fillId="36" borderId="52" xfId="0" applyNumberFormat="1" applyFont="1" applyFill="1" applyBorder="1" applyAlignment="1" applyProtection="1">
      <alignment vertical="center"/>
      <protection locked="0"/>
    </xf>
    <xf numFmtId="3" fontId="6" fillId="36" borderId="73" xfId="0" applyNumberFormat="1" applyFont="1" applyFill="1" applyBorder="1" applyAlignment="1" applyProtection="1">
      <alignment vertical="center"/>
      <protection locked="0"/>
    </xf>
    <xf numFmtId="3" fontId="3" fillId="36" borderId="160" xfId="0" applyNumberFormat="1" applyFont="1" applyFill="1" applyBorder="1" applyAlignment="1" applyProtection="1">
      <alignment vertical="center"/>
      <protection/>
    </xf>
    <xf numFmtId="3" fontId="6" fillId="36" borderId="81" xfId="0" applyNumberFormat="1" applyFont="1" applyFill="1" applyBorder="1" applyAlignment="1" applyProtection="1">
      <alignment vertical="center"/>
      <protection/>
    </xf>
    <xf numFmtId="3" fontId="6" fillId="36" borderId="48" xfId="0" applyNumberFormat="1" applyFont="1" applyFill="1" applyBorder="1" applyAlignment="1" applyProtection="1">
      <alignment vertical="center"/>
      <protection/>
    </xf>
    <xf numFmtId="3" fontId="6" fillId="36" borderId="128" xfId="0" applyNumberFormat="1" applyFont="1" applyFill="1" applyBorder="1" applyAlignment="1" applyProtection="1">
      <alignment vertical="center"/>
      <protection/>
    </xf>
    <xf numFmtId="4" fontId="6" fillId="36" borderId="45" xfId="0" applyNumberFormat="1" applyFont="1" applyFill="1" applyBorder="1" applyAlignment="1" applyProtection="1">
      <alignment vertical="center"/>
      <protection/>
    </xf>
    <xf numFmtId="4" fontId="6" fillId="36" borderId="48" xfId="0" applyNumberFormat="1" applyFont="1" applyFill="1" applyBorder="1" applyAlignment="1" applyProtection="1">
      <alignment vertical="center"/>
      <protection/>
    </xf>
    <xf numFmtId="4" fontId="6" fillId="36" borderId="48" xfId="0" applyNumberFormat="1" applyFont="1" applyFill="1" applyBorder="1" applyAlignment="1" applyProtection="1">
      <alignment vertical="center"/>
      <protection locked="0"/>
    </xf>
    <xf numFmtId="4" fontId="6" fillId="36" borderId="52" xfId="0" applyNumberFormat="1" applyFont="1" applyFill="1" applyBorder="1" applyAlignment="1" applyProtection="1">
      <alignment vertical="center"/>
      <protection locked="0"/>
    </xf>
    <xf numFmtId="10" fontId="3" fillId="36" borderId="141" xfId="0" applyNumberFormat="1" applyFont="1" applyFill="1" applyBorder="1" applyAlignment="1" applyProtection="1">
      <alignment vertical="center"/>
      <protection/>
    </xf>
    <xf numFmtId="10" fontId="3" fillId="38" borderId="85" xfId="0" applyNumberFormat="1" applyFont="1" applyFill="1" applyBorder="1" applyAlignment="1" applyProtection="1">
      <alignment vertical="center"/>
      <protection/>
    </xf>
    <xf numFmtId="10" fontId="3" fillId="38" borderId="150" xfId="0" applyNumberFormat="1" applyFont="1" applyFill="1" applyBorder="1" applyAlignment="1" applyProtection="1">
      <alignment vertical="center"/>
      <protection/>
    </xf>
    <xf numFmtId="0" fontId="3" fillId="36" borderId="161" xfId="0" applyFont="1" applyFill="1" applyBorder="1" applyAlignment="1" applyProtection="1">
      <alignment horizontal="center" vertical="center" wrapText="1"/>
      <protection locked="0"/>
    </xf>
    <xf numFmtId="3" fontId="3" fillId="36" borderId="162" xfId="0" applyNumberFormat="1" applyFont="1" applyFill="1" applyBorder="1" applyAlignment="1" applyProtection="1">
      <alignment vertical="center"/>
      <protection/>
    </xf>
    <xf numFmtId="3" fontId="6" fillId="36" borderId="163" xfId="0" applyNumberFormat="1" applyFont="1" applyFill="1" applyBorder="1" applyAlignment="1" applyProtection="1">
      <alignment vertical="center"/>
      <protection locked="0"/>
    </xf>
    <xf numFmtId="3" fontId="8" fillId="38" borderId="124" xfId="0" applyNumberFormat="1" applyFont="1" applyFill="1" applyBorder="1" applyAlignment="1" applyProtection="1">
      <alignment vertical="center"/>
      <protection/>
    </xf>
    <xf numFmtId="3" fontId="7" fillId="38" borderId="69" xfId="0" applyNumberFormat="1" applyFont="1" applyFill="1" applyBorder="1" applyAlignment="1" applyProtection="1">
      <alignment vertical="center"/>
      <protection/>
    </xf>
    <xf numFmtId="3" fontId="3" fillId="36" borderId="163" xfId="0" applyNumberFormat="1" applyFont="1" applyFill="1" applyBorder="1" applyAlignment="1" applyProtection="1">
      <alignment vertical="center"/>
      <protection/>
    </xf>
    <xf numFmtId="3" fontId="6" fillId="36" borderId="134" xfId="0" applyNumberFormat="1" applyFont="1" applyFill="1" applyBorder="1" applyAlignment="1" applyProtection="1">
      <alignment vertical="center"/>
      <protection locked="0"/>
    </xf>
    <xf numFmtId="3" fontId="6" fillId="36" borderId="164" xfId="0" applyNumberFormat="1" applyFont="1" applyFill="1" applyBorder="1" applyAlignment="1" applyProtection="1">
      <alignment vertical="center"/>
      <protection locked="0"/>
    </xf>
    <xf numFmtId="3" fontId="6" fillId="36" borderId="165" xfId="0" applyNumberFormat="1" applyFont="1" applyFill="1" applyBorder="1" applyAlignment="1" applyProtection="1">
      <alignment vertical="center"/>
      <protection locked="0"/>
    </xf>
    <xf numFmtId="3" fontId="3" fillId="36" borderId="166" xfId="0" applyNumberFormat="1" applyFont="1" applyFill="1" applyBorder="1" applyAlignment="1" applyProtection="1">
      <alignment vertical="center" wrapText="1"/>
      <protection locked="0"/>
    </xf>
    <xf numFmtId="3" fontId="6" fillId="36" borderId="154" xfId="0" applyNumberFormat="1" applyFont="1" applyFill="1" applyBorder="1" applyAlignment="1" applyProtection="1">
      <alignment vertical="center"/>
      <protection/>
    </xf>
    <xf numFmtId="4" fontId="3" fillId="36" borderId="151" xfId="0" applyNumberFormat="1" applyFont="1" applyFill="1" applyBorder="1" applyAlignment="1" applyProtection="1">
      <alignment vertical="center"/>
      <protection/>
    </xf>
    <xf numFmtId="4" fontId="0" fillId="0" borderId="110" xfId="0" applyNumberFormat="1" applyFont="1" applyBorder="1" applyAlignment="1">
      <alignment horizontal="right" vertical="center"/>
    </xf>
    <xf numFmtId="4" fontId="0" fillId="0" borderId="90" xfId="0" applyNumberFormat="1" applyFont="1" applyBorder="1" applyAlignment="1">
      <alignment horizontal="right" vertical="center"/>
    </xf>
    <xf numFmtId="4" fontId="0" fillId="0" borderId="117" xfId="0" applyNumberFormat="1" applyFont="1" applyBorder="1" applyAlignment="1">
      <alignment horizontal="right" vertical="center"/>
    </xf>
    <xf numFmtId="4" fontId="3" fillId="38" borderId="92" xfId="0" applyNumberFormat="1" applyFont="1" applyFill="1" applyBorder="1" applyAlignment="1" applyProtection="1">
      <alignment vertical="center"/>
      <protection/>
    </xf>
    <xf numFmtId="4" fontId="50" fillId="38" borderId="93" xfId="0" applyNumberFormat="1" applyFont="1" applyFill="1" applyBorder="1" applyAlignment="1" applyProtection="1">
      <alignment vertical="center"/>
      <protection/>
    </xf>
    <xf numFmtId="4" fontId="6" fillId="36" borderId="117" xfId="0" applyNumberFormat="1" applyFont="1" applyFill="1" applyBorder="1" applyAlignment="1" applyProtection="1">
      <alignment vertical="center"/>
      <protection/>
    </xf>
    <xf numFmtId="4" fontId="3" fillId="36" borderId="167" xfId="0" applyNumberFormat="1" applyFont="1" applyFill="1" applyBorder="1" applyAlignment="1" applyProtection="1">
      <alignment vertical="center"/>
      <protection/>
    </xf>
    <xf numFmtId="4" fontId="0" fillId="0" borderId="168" xfId="0" applyNumberFormat="1" applyFont="1" applyBorder="1" applyAlignment="1">
      <alignment horizontal="right" vertical="center"/>
    </xf>
    <xf numFmtId="4" fontId="0" fillId="0" borderId="136" xfId="0" applyNumberFormat="1" applyFont="1" applyBorder="1" applyAlignment="1">
      <alignment horizontal="right" vertical="center"/>
    </xf>
    <xf numFmtId="4" fontId="0" fillId="0" borderId="169" xfId="0" applyNumberFormat="1" applyFont="1" applyBorder="1" applyAlignment="1">
      <alignment horizontal="right" vertical="center"/>
    </xf>
    <xf numFmtId="4" fontId="3" fillId="36" borderId="170" xfId="0" applyNumberFormat="1" applyFont="1" applyFill="1" applyBorder="1" applyAlignment="1" applyProtection="1">
      <alignment vertical="center"/>
      <protection/>
    </xf>
    <xf numFmtId="4" fontId="6" fillId="36" borderId="144" xfId="0" applyNumberFormat="1" applyFont="1" applyFill="1" applyBorder="1" applyAlignment="1" applyProtection="1">
      <alignment vertical="center"/>
      <protection locked="0"/>
    </xf>
    <xf numFmtId="4" fontId="0" fillId="39" borderId="171" xfId="0" applyNumberFormat="1" applyFont="1" applyFill="1" applyBorder="1" applyAlignment="1">
      <alignment horizontal="right" vertical="center"/>
    </xf>
    <xf numFmtId="4" fontId="50" fillId="38" borderId="167" xfId="0" applyNumberFormat="1" applyFont="1" applyFill="1" applyBorder="1" applyAlignment="1" applyProtection="1">
      <alignment vertical="center"/>
      <protection/>
    </xf>
    <xf numFmtId="4" fontId="3" fillId="38" borderId="172" xfId="0" applyNumberFormat="1" applyFont="1" applyFill="1" applyBorder="1" applyAlignment="1" applyProtection="1">
      <alignment vertical="center"/>
      <protection/>
    </xf>
    <xf numFmtId="4" fontId="3" fillId="36" borderId="173" xfId="0" applyNumberFormat="1" applyFont="1" applyFill="1" applyBorder="1" applyAlignment="1" applyProtection="1">
      <alignment vertical="center"/>
      <protection/>
    </xf>
    <xf numFmtId="4" fontId="6" fillId="36" borderId="174" xfId="0" applyNumberFormat="1" applyFont="1" applyFill="1" applyBorder="1" applyAlignment="1" applyProtection="1">
      <alignment vertical="center"/>
      <protection locked="0"/>
    </xf>
    <xf numFmtId="4" fontId="3" fillId="36" borderId="175" xfId="0" applyNumberFormat="1" applyFont="1" applyFill="1" applyBorder="1" applyAlignment="1" applyProtection="1">
      <alignment vertical="center"/>
      <protection/>
    </xf>
    <xf numFmtId="4" fontId="6" fillId="36" borderId="176" xfId="0" applyNumberFormat="1" applyFont="1" applyFill="1" applyBorder="1" applyAlignment="1" applyProtection="1">
      <alignment vertical="center"/>
      <protection locked="0"/>
    </xf>
    <xf numFmtId="4" fontId="6" fillId="36" borderId="177" xfId="0" applyNumberFormat="1" applyFont="1" applyFill="1" applyBorder="1" applyAlignment="1" applyProtection="1">
      <alignment vertical="center"/>
      <protection locked="0"/>
    </xf>
    <xf numFmtId="4" fontId="3" fillId="36" borderId="178" xfId="0" applyNumberFormat="1" applyFont="1" applyFill="1" applyBorder="1" applyAlignment="1" applyProtection="1">
      <alignment vertical="center" wrapText="1"/>
      <protection locked="0"/>
    </xf>
    <xf numFmtId="4" fontId="3" fillId="36" borderId="179" xfId="0" applyNumberFormat="1" applyFont="1" applyFill="1" applyBorder="1" applyAlignment="1" applyProtection="1">
      <alignment vertical="center"/>
      <protection/>
    </xf>
    <xf numFmtId="4" fontId="6" fillId="36" borderId="168" xfId="0" applyNumberFormat="1" applyFont="1" applyFill="1" applyBorder="1" applyAlignment="1" applyProtection="1">
      <alignment vertical="center"/>
      <protection/>
    </xf>
    <xf numFmtId="4" fontId="6" fillId="36" borderId="169" xfId="0" applyNumberFormat="1" applyFont="1" applyFill="1" applyBorder="1" applyAlignment="1" applyProtection="1">
      <alignment vertical="center"/>
      <protection/>
    </xf>
    <xf numFmtId="3" fontId="3" fillId="36" borderId="92" xfId="0" applyNumberFormat="1" applyFont="1" applyFill="1" applyBorder="1" applyAlignment="1" applyProtection="1">
      <alignment vertical="center"/>
      <protection/>
    </xf>
    <xf numFmtId="3" fontId="0" fillId="0" borderId="110" xfId="0" applyNumberFormat="1" applyFont="1" applyBorder="1" applyAlignment="1">
      <alignment horizontal="right" vertical="center"/>
    </xf>
    <xf numFmtId="3" fontId="3" fillId="36" borderId="119" xfId="0" applyNumberFormat="1" applyFont="1" applyFill="1" applyBorder="1" applyAlignment="1" applyProtection="1">
      <alignment vertical="center"/>
      <protection/>
    </xf>
    <xf numFmtId="3" fontId="3" fillId="36" borderId="180" xfId="0" applyNumberFormat="1" applyFont="1" applyFill="1" applyBorder="1" applyAlignment="1" applyProtection="1">
      <alignment vertical="center"/>
      <protection/>
    </xf>
    <xf numFmtId="3" fontId="0" fillId="0" borderId="147" xfId="0" applyNumberFormat="1" applyFont="1" applyBorder="1" applyAlignment="1">
      <alignment horizontal="right" vertical="center"/>
    </xf>
    <xf numFmtId="3" fontId="0" fillId="0" borderId="181" xfId="0" applyNumberFormat="1" applyFont="1" applyBorder="1" applyAlignment="1">
      <alignment horizontal="right" vertical="center"/>
    </xf>
    <xf numFmtId="4" fontId="50" fillId="38" borderId="55" xfId="0" applyNumberFormat="1" applyFont="1" applyFill="1" applyBorder="1" applyAlignment="1" applyProtection="1">
      <alignment vertical="center"/>
      <protection/>
    </xf>
    <xf numFmtId="4" fontId="3" fillId="38" borderId="58" xfId="0" applyNumberFormat="1" applyFont="1" applyFill="1" applyBorder="1" applyAlignment="1" applyProtection="1">
      <alignment vertical="center"/>
      <protection/>
    </xf>
    <xf numFmtId="4" fontId="3" fillId="36" borderId="150" xfId="0" applyNumberFormat="1" applyFont="1" applyFill="1" applyBorder="1" applyAlignment="1" applyProtection="1">
      <alignment vertical="center"/>
      <protection/>
    </xf>
    <xf numFmtId="4" fontId="6" fillId="36" borderId="134" xfId="0" applyNumberFormat="1" applyFont="1" applyFill="1" applyBorder="1" applyAlignment="1" applyProtection="1">
      <alignment horizontal="right" vertical="center"/>
      <protection/>
    </xf>
    <xf numFmtId="4" fontId="3" fillId="36" borderId="66" xfId="0" applyNumberFormat="1" applyFont="1" applyFill="1" applyBorder="1" applyAlignment="1" applyProtection="1">
      <alignment vertical="center"/>
      <protection/>
    </xf>
    <xf numFmtId="4" fontId="3" fillId="36" borderId="88" xfId="0" applyNumberFormat="1" applyFont="1" applyFill="1" applyBorder="1" applyAlignment="1" applyProtection="1">
      <alignment horizontal="center" vertical="center"/>
      <protection/>
    </xf>
    <xf numFmtId="0" fontId="1" fillId="0" borderId="182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49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H1" sqref="H1"/>
      <selection pane="bottomLeft" activeCell="D13" sqref="D13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16693173.27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14446190.74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2246982.53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127383.54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17641689.21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13900275.34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3741413.87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-948515.9400000013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-18062.069999999832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3765259.93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3765259.93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1969259.93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0.1383922015685158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0.5391119384217594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-0.11076825068811448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395" t="s">
        <v>68</v>
      </c>
      <c r="B55" s="395"/>
      <c r="C55" s="395"/>
      <c r="D55" s="395"/>
      <c r="E55" s="395"/>
      <c r="F55" s="395"/>
      <c r="G55" s="395"/>
      <c r="H55" s="395"/>
      <c r="I55" s="395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396" t="s">
        <v>69</v>
      </c>
      <c r="B56" s="396"/>
      <c r="C56" s="396"/>
      <c r="D56" s="396"/>
      <c r="E56" s="396"/>
      <c r="F56" s="396"/>
      <c r="G56" s="396"/>
      <c r="H56" s="396"/>
      <c r="I56" s="396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397"/>
      <c r="B57" s="397"/>
      <c r="C57" s="397"/>
      <c r="D57" s="397"/>
      <c r="E57" s="397"/>
      <c r="F57" s="397"/>
      <c r="G57" s="397"/>
      <c r="H57" s="397"/>
      <c r="I57" s="397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397"/>
      <c r="B58" s="397"/>
      <c r="C58" s="397"/>
      <c r="D58" s="397"/>
      <c r="E58" s="397"/>
      <c r="F58" s="397"/>
      <c r="G58" s="397"/>
      <c r="H58" s="397"/>
      <c r="I58" s="397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85"/>
  <sheetViews>
    <sheetView tabSelected="1" view="pageBreakPreview" zoomScale="60" workbookViewId="0" topLeftCell="B6">
      <selection activeCell="B6" sqref="B6:AC6"/>
    </sheetView>
  </sheetViews>
  <sheetFormatPr defaultColWidth="11.57421875" defaultRowHeight="12.75"/>
  <cols>
    <col min="1" max="1" width="1.421875" style="0" customWidth="1"/>
    <col min="2" max="2" width="30.8515625" style="0" customWidth="1"/>
    <col min="3" max="3" width="12.421875" style="0" hidden="1" customWidth="1"/>
    <col min="4" max="4" width="13.28125" style="0" hidden="1" customWidth="1"/>
    <col min="5" max="5" width="13.57421875" style="0" hidden="1" customWidth="1"/>
    <col min="6" max="6" width="12.8515625" style="0" hidden="1" customWidth="1"/>
    <col min="7" max="7" width="13.421875" style="0" hidden="1" customWidth="1"/>
    <col min="8" max="9" width="13.140625" style="0" hidden="1" customWidth="1"/>
    <col min="10" max="11" width="0.13671875" style="0" hidden="1" customWidth="1"/>
    <col min="12" max="12" width="13.57421875" style="0" hidden="1" customWidth="1"/>
    <col min="13" max="13" width="13.00390625" style="0" hidden="1" customWidth="1"/>
    <col min="14" max="29" width="12.7109375" style="0" customWidth="1"/>
  </cols>
  <sheetData>
    <row r="1" spans="21:29" ht="12.75">
      <c r="U1" s="401"/>
      <c r="V1" s="401"/>
      <c r="W1" s="401"/>
      <c r="X1" s="401"/>
      <c r="Y1" s="401"/>
      <c r="Z1" s="401"/>
      <c r="AA1" s="401"/>
      <c r="AB1" s="401"/>
      <c r="AC1" s="401"/>
    </row>
    <row r="2" spans="21:29" ht="12.75">
      <c r="U2" s="401" t="s">
        <v>93</v>
      </c>
      <c r="V2" s="401"/>
      <c r="W2" s="401"/>
      <c r="X2" s="401"/>
      <c r="Y2" s="401"/>
      <c r="Z2" s="401"/>
      <c r="AA2" s="401"/>
      <c r="AB2" s="401"/>
      <c r="AC2" s="401"/>
    </row>
    <row r="3" spans="21:29" ht="15" customHeight="1">
      <c r="U3" s="401" t="s">
        <v>110</v>
      </c>
      <c r="V3" s="401"/>
      <c r="W3" s="401"/>
      <c r="X3" s="401"/>
      <c r="Y3" s="401"/>
      <c r="Z3" s="401"/>
      <c r="AA3" s="401"/>
      <c r="AB3" s="401"/>
      <c r="AC3" s="401"/>
    </row>
    <row r="4" spans="17:29" ht="15" customHeight="1">
      <c r="Q4" s="401" t="s">
        <v>109</v>
      </c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</row>
    <row r="5" spans="21:29" ht="12.75">
      <c r="U5" s="401" t="s">
        <v>111</v>
      </c>
      <c r="V5" s="401"/>
      <c r="W5" s="401"/>
      <c r="X5" s="401"/>
      <c r="Y5" s="401"/>
      <c r="Z5" s="401"/>
      <c r="AA5" s="401"/>
      <c r="AB5" s="401"/>
      <c r="AC5" s="401"/>
    </row>
    <row r="6" spans="2:29" ht="27" customHeight="1">
      <c r="B6" s="402" t="s">
        <v>108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</row>
    <row r="7" spans="4:29" ht="13.5" thickBot="1">
      <c r="D7" s="168"/>
      <c r="E7" s="168"/>
      <c r="F7" s="168"/>
      <c r="G7" s="168"/>
      <c r="H7" s="168"/>
      <c r="I7" s="184">
        <f aca="true" t="shared" si="0" ref="I7:V7">I16+I17</f>
        <v>95658.68999999855</v>
      </c>
      <c r="J7" s="184">
        <f t="shared" si="0"/>
        <v>454582.9299999997</v>
      </c>
      <c r="K7" s="184">
        <f t="shared" si="0"/>
        <v>-118344.3300000038</v>
      </c>
      <c r="L7" s="184">
        <f t="shared" si="0"/>
        <v>1167551.5700000003</v>
      </c>
      <c r="M7" s="184">
        <f t="shared" si="0"/>
        <v>-7.450580596923828E-09</v>
      </c>
      <c r="N7" s="184">
        <f t="shared" si="0"/>
        <v>0</v>
      </c>
      <c r="O7" s="184">
        <f t="shared" si="0"/>
        <v>0</v>
      </c>
      <c r="P7" s="184">
        <f t="shared" si="0"/>
        <v>0</v>
      </c>
      <c r="Q7" s="184">
        <f t="shared" si="0"/>
        <v>0</v>
      </c>
      <c r="R7" s="184">
        <f t="shared" si="0"/>
        <v>0</v>
      </c>
      <c r="S7" s="184">
        <f>S16+S17</f>
        <v>0</v>
      </c>
      <c r="T7" s="184">
        <f>T16+T17</f>
        <v>0</v>
      </c>
      <c r="U7" s="184">
        <f t="shared" si="0"/>
        <v>0</v>
      </c>
      <c r="V7" s="184">
        <f t="shared" si="0"/>
        <v>0</v>
      </c>
      <c r="W7" s="184"/>
      <c r="X7" s="184"/>
      <c r="Y7" s="184"/>
      <c r="Z7" s="184"/>
      <c r="AA7" s="184"/>
      <c r="AB7" s="184"/>
      <c r="AC7" s="184"/>
    </row>
    <row r="8" spans="2:29" ht="46.5" customHeight="1" thickBot="1">
      <c r="B8" s="70" t="s">
        <v>70</v>
      </c>
      <c r="C8" s="63" t="s">
        <v>71</v>
      </c>
      <c r="D8" s="61" t="s">
        <v>72</v>
      </c>
      <c r="E8" s="61" t="s">
        <v>73</v>
      </c>
      <c r="F8" s="68" t="s">
        <v>94</v>
      </c>
      <c r="G8" s="69" t="s">
        <v>101</v>
      </c>
      <c r="H8" s="69" t="s">
        <v>100</v>
      </c>
      <c r="I8" s="69" t="s">
        <v>102</v>
      </c>
      <c r="J8" s="69" t="s">
        <v>103</v>
      </c>
      <c r="K8" s="290" t="s">
        <v>74</v>
      </c>
      <c r="L8" s="69" t="s">
        <v>75</v>
      </c>
      <c r="M8" s="294" t="s">
        <v>76</v>
      </c>
      <c r="N8" s="61" t="s">
        <v>77</v>
      </c>
      <c r="O8" s="194" t="s">
        <v>78</v>
      </c>
      <c r="P8" s="194" t="s">
        <v>79</v>
      </c>
      <c r="Q8" s="194" t="s">
        <v>80</v>
      </c>
      <c r="R8" s="61" t="s">
        <v>81</v>
      </c>
      <c r="S8" s="61" t="s">
        <v>82</v>
      </c>
      <c r="T8" s="62" t="s">
        <v>83</v>
      </c>
      <c r="U8" s="62" t="s">
        <v>84</v>
      </c>
      <c r="V8" s="62" t="s">
        <v>95</v>
      </c>
      <c r="W8" s="62" t="s">
        <v>96</v>
      </c>
      <c r="X8" s="62" t="s">
        <v>97</v>
      </c>
      <c r="Y8" s="62" t="s">
        <v>98</v>
      </c>
      <c r="Z8" s="62" t="s">
        <v>99</v>
      </c>
      <c r="AA8" s="62" t="s">
        <v>105</v>
      </c>
      <c r="AB8" s="62" t="s">
        <v>106</v>
      </c>
      <c r="AC8" s="347" t="s">
        <v>107</v>
      </c>
    </row>
    <row r="9" spans="2:29" ht="37.5" customHeight="1" thickBot="1">
      <c r="B9" s="93" t="s">
        <v>19</v>
      </c>
      <c r="C9" s="263">
        <f aca="true" t="shared" si="1" ref="C9:M9">SUM(C10:C11)</f>
        <v>16693173.27</v>
      </c>
      <c r="D9" s="264">
        <f t="shared" si="1"/>
        <v>17596181.29</v>
      </c>
      <c r="E9" s="264">
        <f t="shared" si="1"/>
        <v>17909266.04</v>
      </c>
      <c r="F9" s="265">
        <f t="shared" si="1"/>
        <v>19208868.64</v>
      </c>
      <c r="G9" s="266">
        <f t="shared" si="1"/>
        <v>20032850.709999997</v>
      </c>
      <c r="H9" s="266">
        <f t="shared" si="1"/>
        <v>23727549.69</v>
      </c>
      <c r="I9" s="266">
        <f t="shared" si="1"/>
        <v>26464074.830000002</v>
      </c>
      <c r="J9" s="266">
        <f t="shared" si="1"/>
        <v>23571209.900000002</v>
      </c>
      <c r="K9" s="205">
        <f>SUM(K10:K11)</f>
        <v>26393226.689999998</v>
      </c>
      <c r="L9" s="205">
        <f t="shared" si="1"/>
        <v>31638848.46</v>
      </c>
      <c r="M9" s="365">
        <f t="shared" si="1"/>
        <v>34347385.629999995</v>
      </c>
      <c r="N9" s="296">
        <f>SUM(N10:N11)</f>
        <v>36600841</v>
      </c>
      <c r="O9" s="296">
        <f aca="true" t="shared" si="2" ref="O9:T9">SUM(O10:O11)</f>
        <v>35589525</v>
      </c>
      <c r="P9" s="96">
        <f t="shared" si="2"/>
        <v>34100850</v>
      </c>
      <c r="Q9" s="96">
        <f t="shared" si="2"/>
        <v>33656600</v>
      </c>
      <c r="R9" s="96">
        <f t="shared" si="2"/>
        <v>33280582</v>
      </c>
      <c r="S9" s="96">
        <f t="shared" si="2"/>
        <v>33306584</v>
      </c>
      <c r="T9" s="96">
        <f t="shared" si="2"/>
        <v>33187584</v>
      </c>
      <c r="U9" s="96">
        <f aca="true" t="shared" si="3" ref="U9:AC9">SUM(U10:U11)</f>
        <v>33057000</v>
      </c>
      <c r="V9" s="96">
        <f t="shared" si="3"/>
        <v>33050000</v>
      </c>
      <c r="W9" s="96">
        <f t="shared" si="3"/>
        <v>33078000</v>
      </c>
      <c r="X9" s="96">
        <f t="shared" si="3"/>
        <v>33260000</v>
      </c>
      <c r="Y9" s="327">
        <f t="shared" si="3"/>
        <v>33338000</v>
      </c>
      <c r="Z9" s="386">
        <f>SUM(Z10:Z11)</f>
        <v>33352000</v>
      </c>
      <c r="AA9" s="383">
        <f>SUM(AA10:AA11)</f>
        <v>33280000</v>
      </c>
      <c r="AB9" s="383">
        <f>SUM(AB10:AB11)</f>
        <v>33295000</v>
      </c>
      <c r="AC9" s="213">
        <f t="shared" si="3"/>
        <v>33555000</v>
      </c>
    </row>
    <row r="10" spans="2:29" ht="24.75" customHeight="1">
      <c r="B10" s="210" t="s">
        <v>20</v>
      </c>
      <c r="C10" s="74">
        <v>14446190.74</v>
      </c>
      <c r="D10" s="75">
        <v>16873399.36</v>
      </c>
      <c r="E10" s="258">
        <v>17307564.66</v>
      </c>
      <c r="F10" s="259">
        <v>18752439.72</v>
      </c>
      <c r="G10" s="260">
        <v>19142269.83</v>
      </c>
      <c r="H10" s="261">
        <v>22454278.53</v>
      </c>
      <c r="I10" s="262">
        <v>22644718.6</v>
      </c>
      <c r="J10" s="262">
        <v>23299273.01</v>
      </c>
      <c r="K10" s="226">
        <v>24649716.99</v>
      </c>
      <c r="L10" s="359">
        <v>30005599.45</v>
      </c>
      <c r="M10" s="366">
        <v>33090770.99</v>
      </c>
      <c r="N10" s="313">
        <v>32132469</v>
      </c>
      <c r="O10" s="313">
        <v>32292000</v>
      </c>
      <c r="P10" s="312">
        <v>32572000</v>
      </c>
      <c r="Q10" s="312">
        <v>32606600</v>
      </c>
      <c r="R10" s="312">
        <v>32980582</v>
      </c>
      <c r="S10" s="312">
        <v>33006584</v>
      </c>
      <c r="T10" s="312">
        <v>32987584</v>
      </c>
      <c r="U10" s="312">
        <v>32857000</v>
      </c>
      <c r="V10" s="312">
        <v>33000000</v>
      </c>
      <c r="W10" s="314">
        <v>33028000</v>
      </c>
      <c r="X10" s="315">
        <v>33210000</v>
      </c>
      <c r="Y10" s="320">
        <v>33288000</v>
      </c>
      <c r="Z10" s="315">
        <v>33302000</v>
      </c>
      <c r="AA10" s="384">
        <v>33230000</v>
      </c>
      <c r="AB10" s="384">
        <v>33245000</v>
      </c>
      <c r="AC10" s="321">
        <v>33505000</v>
      </c>
    </row>
    <row r="11" spans="2:29" ht="28.5" customHeight="1">
      <c r="B11" s="211" t="s">
        <v>21</v>
      </c>
      <c r="C11" s="80">
        <v>2246982.53</v>
      </c>
      <c r="D11" s="81">
        <v>722781.93</v>
      </c>
      <c r="E11" s="82">
        <v>601701.38</v>
      </c>
      <c r="F11" s="256">
        <v>456428.92</v>
      </c>
      <c r="G11" s="202">
        <v>890580.88</v>
      </c>
      <c r="H11" s="220">
        <v>1273271.16</v>
      </c>
      <c r="I11" s="227">
        <v>3819356.23</v>
      </c>
      <c r="J11" s="227">
        <v>271936.89</v>
      </c>
      <c r="K11" s="227">
        <v>1743509.7</v>
      </c>
      <c r="L11" s="360">
        <v>1633249.01</v>
      </c>
      <c r="M11" s="367">
        <v>1256614.64</v>
      </c>
      <c r="N11" s="308">
        <v>4468372</v>
      </c>
      <c r="O11" s="308">
        <v>3297525</v>
      </c>
      <c r="P11" s="307">
        <v>1528850</v>
      </c>
      <c r="Q11" s="307">
        <v>1050000</v>
      </c>
      <c r="R11" s="307">
        <v>300000</v>
      </c>
      <c r="S11" s="307">
        <v>300000</v>
      </c>
      <c r="T11" s="307">
        <v>200000</v>
      </c>
      <c r="U11" s="307">
        <v>200000</v>
      </c>
      <c r="V11" s="307">
        <v>50000</v>
      </c>
      <c r="W11" s="309">
        <v>50000</v>
      </c>
      <c r="X11" s="310">
        <v>50000</v>
      </c>
      <c r="Y11" s="309">
        <v>50000</v>
      </c>
      <c r="Z11" s="387">
        <v>50000</v>
      </c>
      <c r="AA11" s="310">
        <v>50000</v>
      </c>
      <c r="AB11" s="310">
        <v>50000</v>
      </c>
      <c r="AC11" s="311">
        <v>50000</v>
      </c>
    </row>
    <row r="12" spans="2:29" ht="27.75" customHeight="1" thickBot="1">
      <c r="B12" s="212" t="s">
        <v>22</v>
      </c>
      <c r="C12" s="88">
        <v>127383.54</v>
      </c>
      <c r="D12" s="89">
        <v>184802.23</v>
      </c>
      <c r="E12" s="90">
        <v>201834.78</v>
      </c>
      <c r="F12" s="257">
        <v>151893.39</v>
      </c>
      <c r="G12" s="208">
        <v>220163.11</v>
      </c>
      <c r="H12" s="221">
        <v>43875.61</v>
      </c>
      <c r="I12" s="228">
        <v>142472.2</v>
      </c>
      <c r="J12" s="228">
        <v>184317.65</v>
      </c>
      <c r="K12" s="228">
        <v>249409.7</v>
      </c>
      <c r="L12" s="361">
        <v>1595442.72</v>
      </c>
      <c r="M12" s="368">
        <v>536740</v>
      </c>
      <c r="N12" s="317">
        <v>500000</v>
      </c>
      <c r="O12" s="317">
        <v>500000</v>
      </c>
      <c r="P12" s="316">
        <v>550000</v>
      </c>
      <c r="Q12" s="316">
        <v>550000</v>
      </c>
      <c r="R12" s="316">
        <v>300000</v>
      </c>
      <c r="S12" s="316">
        <v>300000</v>
      </c>
      <c r="T12" s="316">
        <v>200000</v>
      </c>
      <c r="U12" s="316">
        <v>200000</v>
      </c>
      <c r="V12" s="316">
        <v>50000</v>
      </c>
      <c r="W12" s="318">
        <v>50000</v>
      </c>
      <c r="X12" s="319">
        <v>50000</v>
      </c>
      <c r="Y12" s="318">
        <v>50000</v>
      </c>
      <c r="Z12" s="388">
        <v>50000</v>
      </c>
      <c r="AA12" s="319">
        <v>50000</v>
      </c>
      <c r="AB12" s="319">
        <v>50000</v>
      </c>
      <c r="AC12" s="322">
        <v>50000</v>
      </c>
    </row>
    <row r="13" spans="2:29" ht="25.5" customHeight="1" thickBot="1">
      <c r="B13" s="209" t="s">
        <v>23</v>
      </c>
      <c r="C13" s="72">
        <f aca="true" t="shared" si="4" ref="C13:S13">SUM(C14:C15)</f>
        <v>17641689.21</v>
      </c>
      <c r="D13" s="72">
        <f t="shared" si="4"/>
        <v>17487332.96</v>
      </c>
      <c r="E13" s="72">
        <f t="shared" si="4"/>
        <v>18435743.84</v>
      </c>
      <c r="F13" s="206">
        <f t="shared" si="4"/>
        <v>20146824.1</v>
      </c>
      <c r="G13" s="207">
        <f t="shared" si="4"/>
        <v>22026666.169999998</v>
      </c>
      <c r="H13" s="207">
        <f>SUM(H14:H15)</f>
        <v>25929665.98</v>
      </c>
      <c r="I13" s="207">
        <f t="shared" si="4"/>
        <v>27180108.020000003</v>
      </c>
      <c r="J13" s="207">
        <f>SUM(J14:J15)</f>
        <v>25033412.130000003</v>
      </c>
      <c r="K13" s="207">
        <f>SUM(K14:K15)</f>
        <v>27706255.78</v>
      </c>
      <c r="L13" s="207">
        <f>SUM(L14:L15)</f>
        <v>29597178.89</v>
      </c>
      <c r="M13" s="369">
        <f t="shared" si="4"/>
        <v>35863833.63</v>
      </c>
      <c r="N13" s="297">
        <f t="shared" si="4"/>
        <v>39014981</v>
      </c>
      <c r="O13" s="297">
        <f t="shared" si="4"/>
        <v>36056700.32</v>
      </c>
      <c r="P13" s="214">
        <f t="shared" si="4"/>
        <v>33799650</v>
      </c>
      <c r="Q13" s="214">
        <f t="shared" si="4"/>
        <v>32576600</v>
      </c>
      <c r="R13" s="214">
        <f t="shared" si="4"/>
        <v>31740582</v>
      </c>
      <c r="S13" s="214">
        <f t="shared" si="4"/>
        <v>31666584</v>
      </c>
      <c r="T13" s="214">
        <f aca="true" t="shared" si="5" ref="T13:AC13">SUM(T14:T15)</f>
        <v>31527584</v>
      </c>
      <c r="U13" s="214">
        <f t="shared" si="5"/>
        <v>31457000</v>
      </c>
      <c r="V13" s="214">
        <f t="shared" si="5"/>
        <v>31450000</v>
      </c>
      <c r="W13" s="214">
        <f t="shared" si="5"/>
        <v>31478000</v>
      </c>
      <c r="X13" s="214">
        <f t="shared" si="5"/>
        <v>31660000</v>
      </c>
      <c r="Y13" s="215">
        <f t="shared" si="5"/>
        <v>31738000</v>
      </c>
      <c r="Z13" s="215">
        <f>SUM(Z14:Z15)</f>
        <v>31752000</v>
      </c>
      <c r="AA13" s="385">
        <f>SUM(AA14:AA15)</f>
        <v>31763025</v>
      </c>
      <c r="AB13" s="215">
        <f>SUM(AB14:AB15)</f>
        <v>32295000</v>
      </c>
      <c r="AC13" s="348">
        <f t="shared" si="5"/>
        <v>33034788.48</v>
      </c>
    </row>
    <row r="14" spans="2:29" ht="28.5" customHeight="1" thickTop="1">
      <c r="B14" s="73" t="s">
        <v>24</v>
      </c>
      <c r="C14" s="74">
        <v>13900275.34</v>
      </c>
      <c r="D14" s="75">
        <v>15961348.81</v>
      </c>
      <c r="E14" s="75">
        <v>16759329.33</v>
      </c>
      <c r="F14" s="76">
        <v>17797238.1</v>
      </c>
      <c r="G14" s="147">
        <v>18969961.9</v>
      </c>
      <c r="H14" s="147">
        <v>21574424.45</v>
      </c>
      <c r="I14" s="147">
        <v>21167304.19</v>
      </c>
      <c r="J14" s="147">
        <v>22300920.64</v>
      </c>
      <c r="K14" s="147">
        <v>22567369</v>
      </c>
      <c r="L14" s="147">
        <v>27965987.17</v>
      </c>
      <c r="M14" s="370">
        <v>31111990.34</v>
      </c>
      <c r="N14" s="298">
        <v>30444456</v>
      </c>
      <c r="O14" s="298">
        <v>30086000.32</v>
      </c>
      <c r="P14" s="77">
        <v>29790000</v>
      </c>
      <c r="Q14" s="77">
        <v>29772000</v>
      </c>
      <c r="R14" s="77">
        <v>29995000</v>
      </c>
      <c r="S14" s="77">
        <v>29626000</v>
      </c>
      <c r="T14" s="77">
        <v>29487000</v>
      </c>
      <c r="U14" s="77">
        <v>29678000</v>
      </c>
      <c r="V14" s="77">
        <v>29976000</v>
      </c>
      <c r="W14" s="195">
        <v>29973000</v>
      </c>
      <c r="X14" s="195">
        <v>29975000</v>
      </c>
      <c r="Y14" s="195">
        <v>30022000</v>
      </c>
      <c r="Z14" s="195">
        <v>30036000</v>
      </c>
      <c r="AA14" s="195">
        <v>29964000</v>
      </c>
      <c r="AB14" s="195">
        <v>29979000</v>
      </c>
      <c r="AC14" s="349">
        <v>29964281</v>
      </c>
    </row>
    <row r="15" spans="2:29" ht="28.5" customHeight="1" thickBot="1">
      <c r="B15" s="87" t="s">
        <v>25</v>
      </c>
      <c r="C15" s="88">
        <v>3741413.87</v>
      </c>
      <c r="D15" s="89">
        <v>1525984.15</v>
      </c>
      <c r="E15" s="81">
        <v>1676414.51</v>
      </c>
      <c r="F15" s="90">
        <v>2349586</v>
      </c>
      <c r="G15" s="149">
        <v>3056704.27</v>
      </c>
      <c r="H15" s="149">
        <v>4355241.53</v>
      </c>
      <c r="I15" s="149">
        <v>6012803.83</v>
      </c>
      <c r="J15" s="149">
        <v>2732491.49</v>
      </c>
      <c r="K15" s="149">
        <v>5138886.78</v>
      </c>
      <c r="L15" s="149">
        <v>1631191.72</v>
      </c>
      <c r="M15" s="371">
        <v>4751843.29</v>
      </c>
      <c r="N15" s="324">
        <v>8570525</v>
      </c>
      <c r="O15" s="324">
        <v>5970700</v>
      </c>
      <c r="P15" s="323">
        <v>4009650</v>
      </c>
      <c r="Q15" s="323">
        <v>2804600</v>
      </c>
      <c r="R15" s="323">
        <v>1745582</v>
      </c>
      <c r="S15" s="323">
        <v>2040584</v>
      </c>
      <c r="T15" s="323">
        <v>2040584</v>
      </c>
      <c r="U15" s="323">
        <v>1779000</v>
      </c>
      <c r="V15" s="323">
        <v>1474000</v>
      </c>
      <c r="W15" s="325">
        <v>1505000</v>
      </c>
      <c r="X15" s="323">
        <v>1685000</v>
      </c>
      <c r="Y15" s="325">
        <v>1716000</v>
      </c>
      <c r="Z15" s="325">
        <v>1716000</v>
      </c>
      <c r="AA15" s="325">
        <v>1799025</v>
      </c>
      <c r="AB15" s="325">
        <v>2316000</v>
      </c>
      <c r="AC15" s="326">
        <v>3070507.48</v>
      </c>
    </row>
    <row r="16" spans="2:29" ht="25.5" customHeight="1" thickBot="1">
      <c r="B16" s="93" t="s">
        <v>26</v>
      </c>
      <c r="C16" s="94">
        <f aca="true" t="shared" si="6" ref="C16:T16">C9-C13</f>
        <v>-948515.9400000013</v>
      </c>
      <c r="D16" s="94">
        <f t="shared" si="6"/>
        <v>108848.32999999821</v>
      </c>
      <c r="E16" s="94">
        <f t="shared" si="6"/>
        <v>-526477.8000000007</v>
      </c>
      <c r="F16" s="95">
        <f t="shared" si="6"/>
        <v>-937955.4600000009</v>
      </c>
      <c r="G16" s="150">
        <f t="shared" si="6"/>
        <v>-1993815.460000001</v>
      </c>
      <c r="H16" s="150">
        <f t="shared" si="6"/>
        <v>-2202116.289999999</v>
      </c>
      <c r="I16" s="229">
        <f>I9-I13</f>
        <v>-716033.1900000013</v>
      </c>
      <c r="J16" s="229">
        <f t="shared" si="6"/>
        <v>-1462202.2300000004</v>
      </c>
      <c r="K16" s="291">
        <f>K9-K13</f>
        <v>-1313029.0900000036</v>
      </c>
      <c r="L16" s="362">
        <f t="shared" si="6"/>
        <v>2041669.5700000003</v>
      </c>
      <c r="M16" s="372">
        <f t="shared" si="6"/>
        <v>-1516448.0000000075</v>
      </c>
      <c r="N16" s="389">
        <f t="shared" si="6"/>
        <v>-2414140</v>
      </c>
      <c r="O16" s="389">
        <f t="shared" si="6"/>
        <v>-467175.3200000003</v>
      </c>
      <c r="P16" s="245">
        <f t="shared" si="6"/>
        <v>301200</v>
      </c>
      <c r="Q16" s="245">
        <f t="shared" si="6"/>
        <v>1080000</v>
      </c>
      <c r="R16" s="248">
        <f t="shared" si="6"/>
        <v>1540000</v>
      </c>
      <c r="S16" s="248">
        <f t="shared" si="6"/>
        <v>1640000</v>
      </c>
      <c r="T16" s="247">
        <f t="shared" si="6"/>
        <v>1660000</v>
      </c>
      <c r="U16" s="247">
        <f aca="true" t="shared" si="7" ref="U16:AC16">U9-U13</f>
        <v>1600000</v>
      </c>
      <c r="V16" s="247">
        <f t="shared" si="7"/>
        <v>1600000</v>
      </c>
      <c r="W16" s="247">
        <f t="shared" si="7"/>
        <v>1600000</v>
      </c>
      <c r="X16" s="247">
        <f t="shared" si="7"/>
        <v>1600000</v>
      </c>
      <c r="Y16" s="328">
        <f t="shared" si="7"/>
        <v>1600000</v>
      </c>
      <c r="Z16" s="328">
        <f>Z9-Z13</f>
        <v>1600000</v>
      </c>
      <c r="AA16" s="328">
        <f>AA9-AA13</f>
        <v>1516975</v>
      </c>
      <c r="AB16" s="328">
        <f>AB9-AB13</f>
        <v>1000000</v>
      </c>
      <c r="AC16" s="350">
        <f t="shared" si="7"/>
        <v>520211.51999999955</v>
      </c>
    </row>
    <row r="17" spans="2:29" ht="27.75" customHeight="1" thickBot="1" thickTop="1">
      <c r="B17" s="97" t="s">
        <v>27</v>
      </c>
      <c r="C17" s="98">
        <f aca="true" t="shared" si="8" ref="C17:S17">C18-C28</f>
        <v>1030165.3000000003</v>
      </c>
      <c r="D17" s="98">
        <f t="shared" si="8"/>
        <v>64268.04000000004</v>
      </c>
      <c r="E17" s="98">
        <f t="shared" si="8"/>
        <v>823000</v>
      </c>
      <c r="F17" s="99">
        <f t="shared" si="8"/>
        <v>1054178.1399999997</v>
      </c>
      <c r="G17" s="151">
        <f t="shared" si="8"/>
        <v>1972746.2000000002</v>
      </c>
      <c r="H17" s="175">
        <f t="shared" si="8"/>
        <v>2356358.15</v>
      </c>
      <c r="I17" s="151">
        <f>I18-I28</f>
        <v>811691.8799999999</v>
      </c>
      <c r="J17" s="151">
        <f t="shared" si="8"/>
        <v>1916785.1600000001</v>
      </c>
      <c r="K17" s="292">
        <f t="shared" si="8"/>
        <v>1194684.7599999998</v>
      </c>
      <c r="L17" s="363">
        <f t="shared" si="8"/>
        <v>-874118</v>
      </c>
      <c r="M17" s="373">
        <f t="shared" si="8"/>
        <v>1516448</v>
      </c>
      <c r="N17" s="390">
        <f t="shared" si="8"/>
        <v>2414140</v>
      </c>
      <c r="O17" s="390">
        <f t="shared" si="8"/>
        <v>467175.32000000007</v>
      </c>
      <c r="P17" s="246">
        <f t="shared" si="8"/>
        <v>-301200</v>
      </c>
      <c r="Q17" s="217">
        <f t="shared" si="8"/>
        <v>-1080000</v>
      </c>
      <c r="R17" s="246">
        <f t="shared" si="8"/>
        <v>-1540000</v>
      </c>
      <c r="S17" s="246">
        <f t="shared" si="8"/>
        <v>-1640000</v>
      </c>
      <c r="T17" s="246">
        <f aca="true" t="shared" si="9" ref="T17:AC17">T18-T28</f>
        <v>-1660000</v>
      </c>
      <c r="U17" s="246">
        <f t="shared" si="9"/>
        <v>-1600000</v>
      </c>
      <c r="V17" s="246">
        <f t="shared" si="9"/>
        <v>-1600000</v>
      </c>
      <c r="W17" s="246">
        <f t="shared" si="9"/>
        <v>-1600000</v>
      </c>
      <c r="X17" s="246">
        <f t="shared" si="9"/>
        <v>-1600000</v>
      </c>
      <c r="Y17" s="246">
        <f t="shared" si="9"/>
        <v>-1600000</v>
      </c>
      <c r="Z17" s="246">
        <f>Z18-Z28</f>
        <v>-1600000</v>
      </c>
      <c r="AA17" s="246">
        <f>AA18-AA28</f>
        <v>-1516975</v>
      </c>
      <c r="AB17" s="246">
        <f>AB18-AB28</f>
        <v>-1000000</v>
      </c>
      <c r="AC17" s="351">
        <f t="shared" si="9"/>
        <v>-520211.52</v>
      </c>
    </row>
    <row r="18" spans="2:29" ht="27" customHeight="1" thickTop="1">
      <c r="B18" s="100" t="s">
        <v>28</v>
      </c>
      <c r="C18" s="101">
        <f aca="true" t="shared" si="10" ref="C18:I18">SUM(C19,C23:C27,C21)</f>
        <v>3765259.93</v>
      </c>
      <c r="D18" s="101">
        <f t="shared" si="10"/>
        <v>1464433</v>
      </c>
      <c r="E18" s="101">
        <f t="shared" si="10"/>
        <v>2187000</v>
      </c>
      <c r="F18" s="102">
        <f t="shared" si="10"/>
        <v>2309639.01</v>
      </c>
      <c r="G18" s="152">
        <f t="shared" si="10"/>
        <v>3488746.2</v>
      </c>
      <c r="H18" s="176">
        <f t="shared" si="10"/>
        <v>4737527.79</v>
      </c>
      <c r="I18" s="152">
        <f t="shared" si="10"/>
        <v>5313765.35</v>
      </c>
      <c r="J18" s="176">
        <f>SUM(J19:J20,J23:J27,J21)</f>
        <v>2131785.16</v>
      </c>
      <c r="K18" s="176">
        <f>K19</f>
        <v>3135493.61</v>
      </c>
      <c r="L18" s="176">
        <f aca="true" t="shared" si="11" ref="L18:T18">L19</f>
        <v>0</v>
      </c>
      <c r="M18" s="374">
        <f>SUM(M19:M27)</f>
        <v>2367546</v>
      </c>
      <c r="N18" s="299">
        <f>SUM(N19:N27)</f>
        <v>4125108</v>
      </c>
      <c r="O18" s="299">
        <f>SUM(O19:O27)</f>
        <v>1761933</v>
      </c>
      <c r="P18" s="103">
        <f t="shared" si="11"/>
        <v>1134786</v>
      </c>
      <c r="Q18" s="103">
        <f t="shared" si="11"/>
        <v>0</v>
      </c>
      <c r="R18" s="103">
        <f t="shared" si="11"/>
        <v>0</v>
      </c>
      <c r="S18" s="103">
        <f>S19</f>
        <v>0</v>
      </c>
      <c r="T18" s="103">
        <f t="shared" si="11"/>
        <v>0</v>
      </c>
      <c r="U18" s="104">
        <v>0</v>
      </c>
      <c r="V18" s="104">
        <f aca="true" t="shared" si="12" ref="V18:AB18">SUM(V19,V23:V27,V21)</f>
        <v>0</v>
      </c>
      <c r="W18" s="104">
        <f t="shared" si="12"/>
        <v>0</v>
      </c>
      <c r="X18" s="104">
        <f t="shared" si="12"/>
        <v>0</v>
      </c>
      <c r="Y18" s="329">
        <f t="shared" si="12"/>
        <v>0</v>
      </c>
      <c r="Z18" s="329">
        <f t="shared" si="12"/>
        <v>0</v>
      </c>
      <c r="AA18" s="329">
        <f t="shared" si="12"/>
        <v>0</v>
      </c>
      <c r="AB18" s="329">
        <f t="shared" si="12"/>
        <v>0</v>
      </c>
      <c r="AC18" s="352"/>
    </row>
    <row r="19" spans="2:29" ht="24.75" customHeight="1">
      <c r="B19" s="79" t="s">
        <v>29</v>
      </c>
      <c r="C19" s="80">
        <v>3765259.93</v>
      </c>
      <c r="D19" s="81">
        <v>1403000</v>
      </c>
      <c r="E19" s="81">
        <v>1961000</v>
      </c>
      <c r="F19" s="83">
        <v>2066000</v>
      </c>
      <c r="G19" s="148">
        <v>2839628.66</v>
      </c>
      <c r="H19" s="148">
        <v>4737527.79</v>
      </c>
      <c r="I19" s="148">
        <v>3665374.84</v>
      </c>
      <c r="J19" s="148">
        <v>1685863.74</v>
      </c>
      <c r="K19" s="148">
        <v>3135493.61</v>
      </c>
      <c r="L19" s="148">
        <v>0</v>
      </c>
      <c r="M19" s="252">
        <v>1277366</v>
      </c>
      <c r="N19" s="254">
        <v>3223492.52</v>
      </c>
      <c r="O19" s="254">
        <v>1761933</v>
      </c>
      <c r="P19" s="84">
        <v>1134786</v>
      </c>
      <c r="Q19" s="84">
        <v>0</v>
      </c>
      <c r="R19" s="84">
        <v>0</v>
      </c>
      <c r="S19" s="84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330">
        <v>0</v>
      </c>
      <c r="Z19" s="330">
        <v>0</v>
      </c>
      <c r="AA19" s="330">
        <v>0</v>
      </c>
      <c r="AB19" s="330">
        <v>0</v>
      </c>
      <c r="AC19" s="353"/>
    </row>
    <row r="20" spans="2:31" ht="48" customHeight="1">
      <c r="B20" s="79" t="s">
        <v>30</v>
      </c>
      <c r="C20" s="80">
        <v>1969259.93</v>
      </c>
      <c r="D20" s="81">
        <v>0</v>
      </c>
      <c r="E20" s="81">
        <v>0</v>
      </c>
      <c r="F20" s="83">
        <v>0</v>
      </c>
      <c r="G20" s="148">
        <v>294498.66</v>
      </c>
      <c r="H20" s="148">
        <v>774027.79</v>
      </c>
      <c r="I20" s="148">
        <v>222466.66</v>
      </c>
      <c r="J20" s="148">
        <v>360447.24</v>
      </c>
      <c r="K20" s="148">
        <v>935493.61</v>
      </c>
      <c r="L20" s="148">
        <v>0</v>
      </c>
      <c r="M20" s="252">
        <v>0</v>
      </c>
      <c r="N20" s="254">
        <v>753100</v>
      </c>
      <c r="O20" s="254">
        <v>0</v>
      </c>
      <c r="P20" s="84">
        <v>0</v>
      </c>
      <c r="Q20" s="84">
        <v>0</v>
      </c>
      <c r="R20" s="84">
        <v>0</v>
      </c>
      <c r="S20" s="84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330">
        <v>0</v>
      </c>
      <c r="Z20" s="330">
        <v>0</v>
      </c>
      <c r="AA20" s="330">
        <v>0</v>
      </c>
      <c r="AB20" s="330">
        <v>0</v>
      </c>
      <c r="AC20" s="353"/>
      <c r="AE20" s="67">
        <f>SUM(G20:K20)</f>
        <v>2586933.96</v>
      </c>
    </row>
    <row r="21" spans="2:29" ht="28.5" customHeight="1">
      <c r="B21" s="79" t="s">
        <v>31</v>
      </c>
      <c r="C21" s="80">
        <v>0</v>
      </c>
      <c r="D21" s="81">
        <v>0</v>
      </c>
      <c r="E21" s="81">
        <v>0</v>
      </c>
      <c r="F21" s="83">
        <v>0</v>
      </c>
      <c r="G21" s="148">
        <v>0</v>
      </c>
      <c r="H21" s="148">
        <v>0</v>
      </c>
      <c r="I21" s="148">
        <v>1500000</v>
      </c>
      <c r="J21" s="148">
        <v>0</v>
      </c>
      <c r="K21" s="148">
        <v>0</v>
      </c>
      <c r="L21" s="148">
        <v>0</v>
      </c>
      <c r="M21" s="252">
        <v>0</v>
      </c>
      <c r="N21" s="254">
        <v>0</v>
      </c>
      <c r="O21" s="254">
        <v>0</v>
      </c>
      <c r="P21" s="84">
        <v>0</v>
      </c>
      <c r="Q21" s="84">
        <v>0</v>
      </c>
      <c r="R21" s="84">
        <v>0</v>
      </c>
      <c r="S21" s="84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330">
        <v>0</v>
      </c>
      <c r="Z21" s="330">
        <v>0</v>
      </c>
      <c r="AA21" s="330">
        <v>0</v>
      </c>
      <c r="AB21" s="330">
        <v>0</v>
      </c>
      <c r="AC21" s="353"/>
    </row>
    <row r="22" spans="2:29" ht="57" customHeight="1">
      <c r="B22" s="79" t="s">
        <v>32</v>
      </c>
      <c r="C22" s="80">
        <v>0</v>
      </c>
      <c r="D22" s="81">
        <v>0</v>
      </c>
      <c r="E22" s="81">
        <v>0</v>
      </c>
      <c r="F22" s="83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252">
        <v>0</v>
      </c>
      <c r="N22" s="254">
        <v>0</v>
      </c>
      <c r="O22" s="254">
        <v>0</v>
      </c>
      <c r="P22" s="84">
        <v>0</v>
      </c>
      <c r="Q22" s="84">
        <v>0</v>
      </c>
      <c r="R22" s="84">
        <v>0</v>
      </c>
      <c r="S22" s="84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330">
        <v>0</v>
      </c>
      <c r="Z22" s="330">
        <v>0</v>
      </c>
      <c r="AA22" s="330">
        <v>0</v>
      </c>
      <c r="AB22" s="330">
        <v>0</v>
      </c>
      <c r="AC22" s="353"/>
    </row>
    <row r="23" spans="2:29" ht="27" customHeight="1">
      <c r="B23" s="79" t="s">
        <v>33</v>
      </c>
      <c r="C23" s="80">
        <v>0</v>
      </c>
      <c r="D23" s="81">
        <v>0</v>
      </c>
      <c r="E23" s="81">
        <v>0</v>
      </c>
      <c r="F23" s="83">
        <v>0</v>
      </c>
      <c r="G23" s="148">
        <v>47461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252">
        <v>0</v>
      </c>
      <c r="N23" s="254">
        <v>0</v>
      </c>
      <c r="O23" s="254">
        <v>0</v>
      </c>
      <c r="P23" s="84">
        <v>0</v>
      </c>
      <c r="Q23" s="84">
        <v>0</v>
      </c>
      <c r="R23" s="84">
        <v>0</v>
      </c>
      <c r="S23" s="84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330">
        <v>0</v>
      </c>
      <c r="Z23" s="330">
        <v>0</v>
      </c>
      <c r="AA23" s="330">
        <v>0</v>
      </c>
      <c r="AB23" s="330">
        <v>0</v>
      </c>
      <c r="AC23" s="353"/>
    </row>
    <row r="24" spans="2:29" ht="27" customHeight="1">
      <c r="B24" s="79" t="s">
        <v>34</v>
      </c>
      <c r="C24" s="80">
        <v>0</v>
      </c>
      <c r="D24" s="81">
        <v>0</v>
      </c>
      <c r="E24" s="81">
        <v>0</v>
      </c>
      <c r="F24" s="83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252">
        <v>0</v>
      </c>
      <c r="N24" s="254">
        <v>0</v>
      </c>
      <c r="O24" s="254">
        <v>0</v>
      </c>
      <c r="P24" s="84">
        <v>0</v>
      </c>
      <c r="Q24" s="84">
        <v>0</v>
      </c>
      <c r="R24" s="84">
        <v>0</v>
      </c>
      <c r="S24" s="84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330">
        <v>0</v>
      </c>
      <c r="Z24" s="330">
        <v>0</v>
      </c>
      <c r="AA24" s="330">
        <v>0</v>
      </c>
      <c r="AB24" s="330">
        <v>0</v>
      </c>
      <c r="AC24" s="353"/>
    </row>
    <row r="25" spans="2:29" ht="24.75" customHeight="1">
      <c r="B25" s="79" t="s">
        <v>35</v>
      </c>
      <c r="C25" s="80">
        <v>0</v>
      </c>
      <c r="D25" s="81">
        <v>0</v>
      </c>
      <c r="E25" s="81">
        <v>0</v>
      </c>
      <c r="F25" s="83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252">
        <v>1090180</v>
      </c>
      <c r="N25" s="254">
        <v>0</v>
      </c>
      <c r="O25" s="254">
        <v>0</v>
      </c>
      <c r="P25" s="84">
        <v>0</v>
      </c>
      <c r="Q25" s="84">
        <v>0</v>
      </c>
      <c r="R25" s="84">
        <v>0</v>
      </c>
      <c r="S25" s="84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330">
        <v>0</v>
      </c>
      <c r="Z25" s="330">
        <v>0</v>
      </c>
      <c r="AA25" s="330">
        <v>0</v>
      </c>
      <c r="AB25" s="330">
        <v>0</v>
      </c>
      <c r="AC25" s="353"/>
    </row>
    <row r="26" spans="2:29" ht="17.25" customHeight="1">
      <c r="B26" s="79" t="s">
        <v>36</v>
      </c>
      <c r="C26" s="80">
        <v>0</v>
      </c>
      <c r="D26" s="81">
        <v>61433</v>
      </c>
      <c r="E26" s="81">
        <v>226000</v>
      </c>
      <c r="F26" s="83">
        <v>243639.01</v>
      </c>
      <c r="G26" s="148">
        <v>601656.54</v>
      </c>
      <c r="H26" s="148">
        <v>0</v>
      </c>
      <c r="I26" s="148">
        <v>148390.51</v>
      </c>
      <c r="J26" s="148">
        <v>85474.18</v>
      </c>
      <c r="K26" s="148">
        <v>87792.17</v>
      </c>
      <c r="L26" s="148">
        <v>0</v>
      </c>
      <c r="M26" s="252">
        <v>0</v>
      </c>
      <c r="N26" s="254">
        <v>148515.48</v>
      </c>
      <c r="O26" s="254">
        <v>0</v>
      </c>
      <c r="P26" s="84">
        <v>0</v>
      </c>
      <c r="Q26" s="84">
        <v>0</v>
      </c>
      <c r="R26" s="84">
        <v>0</v>
      </c>
      <c r="S26" s="84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330">
        <v>0</v>
      </c>
      <c r="Z26" s="330">
        <v>0</v>
      </c>
      <c r="AA26" s="330">
        <v>0</v>
      </c>
      <c r="AB26" s="330">
        <v>0</v>
      </c>
      <c r="AC26" s="353"/>
    </row>
    <row r="27" spans="2:29" ht="17.25" customHeight="1" thickBot="1">
      <c r="B27" s="105" t="s">
        <v>37</v>
      </c>
      <c r="C27" s="106">
        <v>0</v>
      </c>
      <c r="D27" s="107">
        <v>0</v>
      </c>
      <c r="E27" s="107">
        <v>0</v>
      </c>
      <c r="F27" s="108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375">
        <v>0</v>
      </c>
      <c r="N27" s="300">
        <v>0</v>
      </c>
      <c r="O27" s="300">
        <v>0</v>
      </c>
      <c r="P27" s="109">
        <v>0</v>
      </c>
      <c r="Q27" s="109">
        <v>0</v>
      </c>
      <c r="R27" s="109">
        <v>0</v>
      </c>
      <c r="S27" s="109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331">
        <v>0</v>
      </c>
      <c r="Z27" s="331">
        <v>0</v>
      </c>
      <c r="AA27" s="331">
        <v>0</v>
      </c>
      <c r="AB27" s="331">
        <v>0</v>
      </c>
      <c r="AC27" s="354"/>
    </row>
    <row r="28" spans="2:29" ht="24.75" customHeight="1" thickBot="1" thickTop="1">
      <c r="B28" s="97" t="s">
        <v>38</v>
      </c>
      <c r="C28" s="98">
        <f>SUM(C29,C31,C33:C34)</f>
        <v>2735094.63</v>
      </c>
      <c r="D28" s="98">
        <f>SUM(D29,D31,D33:D34)</f>
        <v>1400164.96</v>
      </c>
      <c r="E28" s="98">
        <f>SUM(E29,E31,E33:E34)</f>
        <v>1364000</v>
      </c>
      <c r="F28" s="99">
        <f>SUM(F29,F31,F33:F34)</f>
        <v>1255460.87</v>
      </c>
      <c r="G28" s="151">
        <f>SUM(G29,G31,G33:G34)</f>
        <v>1516000</v>
      </c>
      <c r="H28" s="151">
        <f aca="true" t="shared" si="13" ref="H28:Q28">SUM(H29,H31,H33:H34)</f>
        <v>2381169.64</v>
      </c>
      <c r="I28" s="151">
        <f t="shared" si="13"/>
        <v>4502073.47</v>
      </c>
      <c r="J28" s="151">
        <f t="shared" si="13"/>
        <v>215000</v>
      </c>
      <c r="K28" s="151">
        <f>SUM(K29,K31,K33:K34)</f>
        <v>1940808.85</v>
      </c>
      <c r="L28" s="151">
        <f t="shared" si="13"/>
        <v>874118</v>
      </c>
      <c r="M28" s="376">
        <f t="shared" si="13"/>
        <v>851098</v>
      </c>
      <c r="N28" s="393">
        <f>SUM(N29,N31,N33:N34,)</f>
        <v>1710968</v>
      </c>
      <c r="O28" s="301">
        <f>O29</f>
        <v>1294757.68</v>
      </c>
      <c r="P28" s="111">
        <f t="shared" si="13"/>
        <v>1435986</v>
      </c>
      <c r="Q28" s="112">
        <f t="shared" si="13"/>
        <v>1080000</v>
      </c>
      <c r="R28" s="113">
        <f aca="true" t="shared" si="14" ref="R28:AC28">SUM(R29,R31,R33:R34)</f>
        <v>1540000</v>
      </c>
      <c r="S28" s="113">
        <f t="shared" si="14"/>
        <v>1640000</v>
      </c>
      <c r="T28" s="114">
        <f t="shared" si="14"/>
        <v>1660000</v>
      </c>
      <c r="U28" s="114">
        <f t="shared" si="14"/>
        <v>1600000</v>
      </c>
      <c r="V28" s="114">
        <f t="shared" si="14"/>
        <v>1600000</v>
      </c>
      <c r="W28" s="114">
        <f t="shared" si="14"/>
        <v>1600000</v>
      </c>
      <c r="X28" s="114">
        <f t="shared" si="14"/>
        <v>1600000</v>
      </c>
      <c r="Y28" s="332">
        <f t="shared" si="14"/>
        <v>1600000</v>
      </c>
      <c r="Z28" s="332">
        <f>SUM(Z29,Z31,Z33:Z34)</f>
        <v>1600000</v>
      </c>
      <c r="AA28" s="332">
        <f>SUM(AA29,AA31,AA33:AA34)</f>
        <v>1516975</v>
      </c>
      <c r="AB28" s="332">
        <f>SUM(AB29,AB31,AB33:AB34)</f>
        <v>1000000</v>
      </c>
      <c r="AC28" s="115">
        <f t="shared" si="14"/>
        <v>520211.52</v>
      </c>
    </row>
    <row r="29" spans="2:29" ht="25.5" customHeight="1" thickTop="1">
      <c r="B29" s="73" t="s">
        <v>39</v>
      </c>
      <c r="C29" s="74">
        <v>2735094.63</v>
      </c>
      <c r="D29" s="75">
        <v>1400164.96</v>
      </c>
      <c r="E29" s="75">
        <v>1364000</v>
      </c>
      <c r="F29" s="76">
        <v>1208000</v>
      </c>
      <c r="G29" s="154">
        <v>1516000</v>
      </c>
      <c r="H29" s="177">
        <v>2381169.64</v>
      </c>
      <c r="I29" s="177">
        <v>4502073.47</v>
      </c>
      <c r="J29" s="177">
        <v>215000</v>
      </c>
      <c r="K29" s="177">
        <v>1940808.85</v>
      </c>
      <c r="L29" s="177">
        <f>SUM(L40,)</f>
        <v>874118</v>
      </c>
      <c r="M29" s="377">
        <v>851098</v>
      </c>
      <c r="N29" s="302">
        <v>1710968</v>
      </c>
      <c r="O29" s="302">
        <v>1294757.68</v>
      </c>
      <c r="P29" s="116">
        <v>1435986</v>
      </c>
      <c r="Q29" s="116">
        <v>580000</v>
      </c>
      <c r="R29" s="116">
        <v>1040000</v>
      </c>
      <c r="S29" s="116">
        <v>1140000</v>
      </c>
      <c r="T29" s="116">
        <v>1660000</v>
      </c>
      <c r="U29" s="116">
        <v>1600000</v>
      </c>
      <c r="V29" s="116">
        <v>1600000</v>
      </c>
      <c r="W29" s="116">
        <v>1600000</v>
      </c>
      <c r="X29" s="116">
        <v>1600000</v>
      </c>
      <c r="Y29" s="333">
        <v>1600000</v>
      </c>
      <c r="Z29" s="333">
        <v>1600000</v>
      </c>
      <c r="AA29" s="333">
        <v>1516975</v>
      </c>
      <c r="AB29" s="333">
        <v>1000000</v>
      </c>
      <c r="AC29" s="355">
        <v>520211.52</v>
      </c>
    </row>
    <row r="30" spans="2:31" ht="54.75" customHeight="1">
      <c r="B30" s="79" t="s">
        <v>40</v>
      </c>
      <c r="C30" s="80">
        <v>1719094.63</v>
      </c>
      <c r="D30" s="81">
        <v>250165.3</v>
      </c>
      <c r="E30" s="81">
        <v>0</v>
      </c>
      <c r="F30" s="83">
        <v>0</v>
      </c>
      <c r="G30" s="148">
        <v>0</v>
      </c>
      <c r="H30" s="148">
        <v>111169.64</v>
      </c>
      <c r="I30" s="148">
        <v>1179823.47</v>
      </c>
      <c r="J30" s="148">
        <v>0</v>
      </c>
      <c r="K30" s="148">
        <v>1295940.85</v>
      </c>
      <c r="L30" s="148">
        <v>0</v>
      </c>
      <c r="M30" s="252">
        <v>0</v>
      </c>
      <c r="N30" s="84">
        <v>753100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330">
        <v>0</v>
      </c>
      <c r="Z30" s="330">
        <v>0</v>
      </c>
      <c r="AA30" s="330">
        <v>0</v>
      </c>
      <c r="AB30" s="330">
        <v>0</v>
      </c>
      <c r="AC30" s="86">
        <v>0</v>
      </c>
      <c r="AE30" s="67">
        <f>SUM(K29:Q29,1000000)</f>
        <v>9687736.53</v>
      </c>
    </row>
    <row r="31" spans="2:29" ht="30.75" customHeight="1">
      <c r="B31" s="79" t="s">
        <v>41</v>
      </c>
      <c r="C31" s="80">
        <v>0</v>
      </c>
      <c r="D31" s="81">
        <v>0</v>
      </c>
      <c r="E31" s="81">
        <v>0</v>
      </c>
      <c r="F31" s="83">
        <v>0</v>
      </c>
      <c r="G31" s="148">
        <v>0</v>
      </c>
      <c r="H31" s="148">
        <v>0</v>
      </c>
      <c r="I31" s="230">
        <v>0</v>
      </c>
      <c r="J31" s="230">
        <v>0</v>
      </c>
      <c r="K31" s="148">
        <v>0</v>
      </c>
      <c r="L31" s="148">
        <v>0</v>
      </c>
      <c r="M31" s="252">
        <v>0</v>
      </c>
      <c r="N31" s="84">
        <v>0</v>
      </c>
      <c r="O31" s="84">
        <v>0</v>
      </c>
      <c r="P31" s="84">
        <v>0</v>
      </c>
      <c r="Q31" s="84">
        <v>500000</v>
      </c>
      <c r="R31" s="84">
        <v>500000</v>
      </c>
      <c r="S31" s="84">
        <v>500000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330">
        <v>0</v>
      </c>
      <c r="Z31" s="330">
        <v>0</v>
      </c>
      <c r="AA31" s="330">
        <v>0</v>
      </c>
      <c r="AB31" s="330">
        <v>0</v>
      </c>
      <c r="AC31" s="86">
        <v>0</v>
      </c>
    </row>
    <row r="32" spans="2:29" ht="64.5" customHeight="1">
      <c r="B32" s="79" t="s">
        <v>42</v>
      </c>
      <c r="C32" s="80">
        <v>0</v>
      </c>
      <c r="D32" s="81">
        <v>0</v>
      </c>
      <c r="E32" s="81">
        <v>0</v>
      </c>
      <c r="F32" s="83">
        <v>0</v>
      </c>
      <c r="G32" s="148">
        <v>0</v>
      </c>
      <c r="H32" s="148">
        <v>0</v>
      </c>
      <c r="I32" s="230">
        <v>0</v>
      </c>
      <c r="J32" s="230">
        <v>0</v>
      </c>
      <c r="K32" s="148">
        <v>0</v>
      </c>
      <c r="L32" s="148">
        <v>0</v>
      </c>
      <c r="M32" s="252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330">
        <v>0</v>
      </c>
      <c r="Z32" s="330">
        <v>0</v>
      </c>
      <c r="AA32" s="330">
        <v>0</v>
      </c>
      <c r="AB32" s="330">
        <v>0</v>
      </c>
      <c r="AC32" s="86">
        <v>0</v>
      </c>
    </row>
    <row r="33" spans="2:29" ht="24" customHeight="1">
      <c r="B33" s="79" t="s">
        <v>43</v>
      </c>
      <c r="C33" s="80">
        <v>0</v>
      </c>
      <c r="D33" s="81">
        <v>0</v>
      </c>
      <c r="E33" s="81">
        <v>0</v>
      </c>
      <c r="F33" s="83">
        <v>47460.87</v>
      </c>
      <c r="G33" s="148">
        <v>0</v>
      </c>
      <c r="H33" s="148">
        <v>0</v>
      </c>
      <c r="I33" s="230">
        <v>0</v>
      </c>
      <c r="J33" s="230">
        <v>0</v>
      </c>
      <c r="K33" s="148">
        <v>0</v>
      </c>
      <c r="L33" s="148">
        <v>0</v>
      </c>
      <c r="M33" s="252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330">
        <v>0</v>
      </c>
      <c r="Z33" s="330">
        <v>0</v>
      </c>
      <c r="AA33" s="330">
        <v>0</v>
      </c>
      <c r="AB33" s="330">
        <v>0</v>
      </c>
      <c r="AC33" s="86">
        <v>0</v>
      </c>
    </row>
    <row r="34" spans="2:29" ht="30" customHeight="1" thickBot="1">
      <c r="B34" s="87" t="s">
        <v>44</v>
      </c>
      <c r="C34" s="88">
        <v>0</v>
      </c>
      <c r="D34" s="89">
        <v>0</v>
      </c>
      <c r="E34" s="89">
        <v>0</v>
      </c>
      <c r="F34" s="90">
        <v>0</v>
      </c>
      <c r="G34" s="149">
        <v>0</v>
      </c>
      <c r="H34" s="149">
        <v>0</v>
      </c>
      <c r="I34" s="231">
        <v>0</v>
      </c>
      <c r="J34" s="231">
        <v>0</v>
      </c>
      <c r="K34" s="149">
        <v>0</v>
      </c>
      <c r="L34" s="149">
        <v>0</v>
      </c>
      <c r="M34" s="25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334">
        <v>0</v>
      </c>
      <c r="Z34" s="334">
        <v>0</v>
      </c>
      <c r="AA34" s="334">
        <v>0</v>
      </c>
      <c r="AB34" s="334">
        <v>0</v>
      </c>
      <c r="AC34" s="92">
        <v>0</v>
      </c>
    </row>
    <row r="35" spans="2:29" ht="27" customHeight="1" thickBot="1">
      <c r="B35" s="118" t="s">
        <v>45</v>
      </c>
      <c r="C35" s="119">
        <v>30000</v>
      </c>
      <c r="D35" s="120">
        <v>0</v>
      </c>
      <c r="E35" s="120">
        <v>0</v>
      </c>
      <c r="F35" s="121">
        <v>0</v>
      </c>
      <c r="G35" s="155">
        <v>0</v>
      </c>
      <c r="H35" s="155">
        <v>0</v>
      </c>
      <c r="I35" s="232">
        <v>0</v>
      </c>
      <c r="J35" s="232">
        <v>0</v>
      </c>
      <c r="K35" s="232">
        <v>0</v>
      </c>
      <c r="L35" s="155">
        <v>0</v>
      </c>
      <c r="M35" s="378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335">
        <v>0</v>
      </c>
      <c r="Z35" s="335">
        <v>0</v>
      </c>
      <c r="AA35" s="335">
        <v>0</v>
      </c>
      <c r="AB35" s="335">
        <v>0</v>
      </c>
      <c r="AC35" s="124">
        <v>0</v>
      </c>
    </row>
    <row r="36" spans="2:29" ht="25.5" customHeight="1" thickBot="1">
      <c r="B36" s="71" t="s">
        <v>46</v>
      </c>
      <c r="C36" s="125">
        <v>0</v>
      </c>
      <c r="D36" s="125">
        <f aca="true" t="shared" si="15" ref="D36:R36">SUM(D37:D38)</f>
        <v>0</v>
      </c>
      <c r="E36" s="125">
        <f t="shared" si="15"/>
        <v>0</v>
      </c>
      <c r="F36" s="126">
        <f t="shared" si="15"/>
        <v>0</v>
      </c>
      <c r="G36" s="156">
        <f t="shared" si="15"/>
        <v>0</v>
      </c>
      <c r="H36" s="156">
        <f t="shared" si="15"/>
        <v>0</v>
      </c>
      <c r="I36" s="196">
        <f t="shared" si="15"/>
        <v>0</v>
      </c>
      <c r="J36" s="196">
        <f t="shared" si="15"/>
        <v>0</v>
      </c>
      <c r="K36" s="196">
        <f t="shared" si="15"/>
        <v>0</v>
      </c>
      <c r="L36" s="156">
        <f t="shared" si="15"/>
        <v>0</v>
      </c>
      <c r="M36" s="379">
        <f t="shared" si="15"/>
        <v>0</v>
      </c>
      <c r="N36" s="127">
        <f t="shared" si="15"/>
        <v>0</v>
      </c>
      <c r="O36" s="127">
        <f t="shared" si="15"/>
        <v>0</v>
      </c>
      <c r="P36" s="127">
        <f t="shared" si="15"/>
        <v>0</v>
      </c>
      <c r="Q36" s="127">
        <f t="shared" si="15"/>
        <v>0</v>
      </c>
      <c r="R36" s="127">
        <f t="shared" si="15"/>
        <v>0</v>
      </c>
      <c r="S36" s="127">
        <v>0</v>
      </c>
      <c r="T36" s="128">
        <f aca="true" t="shared" si="16" ref="T36:AC36">SUM(T37:T38)</f>
        <v>0</v>
      </c>
      <c r="U36" s="185">
        <f t="shared" si="16"/>
        <v>0</v>
      </c>
      <c r="V36" s="128">
        <f t="shared" si="16"/>
        <v>0</v>
      </c>
      <c r="W36" s="196">
        <f t="shared" si="16"/>
        <v>0</v>
      </c>
      <c r="X36" s="196">
        <f t="shared" si="16"/>
        <v>0</v>
      </c>
      <c r="Y36" s="196">
        <f t="shared" si="16"/>
        <v>0</v>
      </c>
      <c r="Z36" s="196">
        <f>SUM(Z37:Z38)</f>
        <v>0</v>
      </c>
      <c r="AA36" s="196">
        <f>SUM(AA37:AA38)</f>
        <v>0</v>
      </c>
      <c r="AB36" s="196">
        <f>SUM(AB37:AB38)</f>
        <v>0</v>
      </c>
      <c r="AC36" s="356">
        <f t="shared" si="16"/>
        <v>0</v>
      </c>
    </row>
    <row r="37" spans="2:29" ht="73.5" customHeight="1" thickTop="1">
      <c r="B37" s="73" t="s">
        <v>47</v>
      </c>
      <c r="C37" s="74">
        <v>0</v>
      </c>
      <c r="D37" s="75">
        <v>0</v>
      </c>
      <c r="E37" s="75">
        <v>0</v>
      </c>
      <c r="F37" s="76">
        <v>0</v>
      </c>
      <c r="G37" s="147">
        <v>0</v>
      </c>
      <c r="H37" s="147">
        <v>0</v>
      </c>
      <c r="I37" s="233">
        <v>0</v>
      </c>
      <c r="J37" s="233">
        <v>0</v>
      </c>
      <c r="K37" s="233">
        <v>0</v>
      </c>
      <c r="L37" s="147">
        <v>0</v>
      </c>
      <c r="M37" s="370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195">
        <v>0</v>
      </c>
      <c r="Z37" s="195">
        <v>0</v>
      </c>
      <c r="AA37" s="195">
        <v>0</v>
      </c>
      <c r="AB37" s="195">
        <v>0</v>
      </c>
      <c r="AC37" s="349">
        <v>0</v>
      </c>
    </row>
    <row r="38" spans="2:29" ht="87" customHeight="1" thickBot="1">
      <c r="B38" s="105" t="s">
        <v>48</v>
      </c>
      <c r="C38" s="106">
        <v>0</v>
      </c>
      <c r="D38" s="107">
        <v>0</v>
      </c>
      <c r="E38" s="107">
        <v>0</v>
      </c>
      <c r="F38" s="108">
        <v>0</v>
      </c>
      <c r="G38" s="153">
        <v>0</v>
      </c>
      <c r="H38" s="153">
        <v>0</v>
      </c>
      <c r="I38" s="234">
        <v>0</v>
      </c>
      <c r="J38" s="234">
        <v>0</v>
      </c>
      <c r="K38" s="234">
        <v>0</v>
      </c>
      <c r="L38" s="153">
        <v>0</v>
      </c>
      <c r="M38" s="375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331">
        <v>0</v>
      </c>
      <c r="Z38" s="331">
        <v>0</v>
      </c>
      <c r="AA38" s="331">
        <v>0</v>
      </c>
      <c r="AB38" s="331">
        <v>0</v>
      </c>
      <c r="AC38" s="354">
        <v>0</v>
      </c>
    </row>
    <row r="39" spans="2:29" ht="62.25" customHeight="1" thickBot="1" thickTop="1">
      <c r="B39" s="97" t="s">
        <v>49</v>
      </c>
      <c r="C39" s="98">
        <f>SUM(C40:C45)</f>
        <v>1362835.45</v>
      </c>
      <c r="D39" s="98">
        <f aca="true" t="shared" si="17" ref="D39:T39">SUM(D40:D45)</f>
        <v>1645273.48</v>
      </c>
      <c r="E39" s="98">
        <f t="shared" si="17"/>
        <v>1767633.75</v>
      </c>
      <c r="F39" s="99">
        <f t="shared" si="17"/>
        <v>1612808.41</v>
      </c>
      <c r="G39" s="151">
        <f>SUM(G40:G45)</f>
        <v>2033840</v>
      </c>
      <c r="H39" s="178">
        <f t="shared" si="17"/>
        <v>2931169.64</v>
      </c>
      <c r="I39" s="178">
        <f t="shared" si="17"/>
        <v>5504073.47</v>
      </c>
      <c r="J39" s="288">
        <f>SUM(J40:J45)</f>
        <v>876280.89</v>
      </c>
      <c r="K39" s="288">
        <f t="shared" si="17"/>
        <v>2564376.0100000002</v>
      </c>
      <c r="L39" s="178">
        <f>SUM(L40:L45)</f>
        <v>1441118</v>
      </c>
      <c r="M39" s="380">
        <f>SUM(M40:M45)</f>
        <v>1381098</v>
      </c>
      <c r="N39" s="303">
        <f t="shared" si="17"/>
        <v>2300968</v>
      </c>
      <c r="O39" s="303">
        <f t="shared" si="17"/>
        <v>1964757.68</v>
      </c>
      <c r="P39" s="160">
        <f t="shared" si="17"/>
        <v>2035986</v>
      </c>
      <c r="Q39" s="160">
        <f t="shared" si="17"/>
        <v>1552000</v>
      </c>
      <c r="R39" s="160">
        <f t="shared" si="17"/>
        <v>1985000</v>
      </c>
      <c r="S39" s="160">
        <f t="shared" si="17"/>
        <v>2016000</v>
      </c>
      <c r="T39" s="160">
        <f t="shared" si="17"/>
        <v>1947000</v>
      </c>
      <c r="U39" s="160">
        <f aca="true" t="shared" si="18" ref="U39:AC39">SUM(U40:U45)</f>
        <v>1928000</v>
      </c>
      <c r="V39" s="160">
        <f t="shared" si="18"/>
        <v>1876000</v>
      </c>
      <c r="W39" s="160">
        <f t="shared" si="18"/>
        <v>1823000</v>
      </c>
      <c r="X39" s="160">
        <f t="shared" si="18"/>
        <v>1775000</v>
      </c>
      <c r="Y39" s="336">
        <f t="shared" si="18"/>
        <v>1722000</v>
      </c>
      <c r="Z39" s="336">
        <f>SUM(Z40:Z45)</f>
        <v>1672000</v>
      </c>
      <c r="AA39" s="336">
        <f>SUM(AA40:AA45)</f>
        <v>1566975</v>
      </c>
      <c r="AB39" s="336">
        <f>SUM(AB40:AB45)</f>
        <v>1045000</v>
      </c>
      <c r="AC39" s="161">
        <f t="shared" si="18"/>
        <v>965211.52</v>
      </c>
    </row>
    <row r="40" spans="2:29" ht="34.5" customHeight="1" thickTop="1">
      <c r="B40" s="73" t="s">
        <v>50</v>
      </c>
      <c r="C40" s="129">
        <f>C29-C30</f>
        <v>1016000</v>
      </c>
      <c r="D40" s="129">
        <f>D29-D30</f>
        <v>1149999.66</v>
      </c>
      <c r="E40" s="129">
        <f>E29-E30</f>
        <v>1364000</v>
      </c>
      <c r="F40" s="130">
        <f>F29-F30</f>
        <v>1208000</v>
      </c>
      <c r="G40" s="157">
        <f>G29-G30</f>
        <v>1516000</v>
      </c>
      <c r="H40" s="179">
        <f>H29</f>
        <v>2381169.64</v>
      </c>
      <c r="I40" s="179">
        <v>4822073.47</v>
      </c>
      <c r="J40" s="289">
        <f>J29</f>
        <v>215000</v>
      </c>
      <c r="K40" s="289">
        <f>K29</f>
        <v>1940808.85</v>
      </c>
      <c r="L40" s="179">
        <v>874118</v>
      </c>
      <c r="M40" s="381">
        <v>851098</v>
      </c>
      <c r="N40" s="253">
        <v>1710968</v>
      </c>
      <c r="O40" s="253">
        <v>1294757.68</v>
      </c>
      <c r="P40" s="162">
        <v>1435986</v>
      </c>
      <c r="Q40" s="162">
        <v>480000</v>
      </c>
      <c r="R40" s="162">
        <v>940000</v>
      </c>
      <c r="S40" s="162">
        <v>1040000</v>
      </c>
      <c r="T40" s="162">
        <v>1560000</v>
      </c>
      <c r="U40" s="162">
        <v>1600000</v>
      </c>
      <c r="V40" s="162">
        <v>1600000</v>
      </c>
      <c r="W40" s="162">
        <v>1600000</v>
      </c>
      <c r="X40" s="162">
        <v>1600000</v>
      </c>
      <c r="Y40" s="337">
        <v>1600000</v>
      </c>
      <c r="Z40" s="337">
        <v>1600000</v>
      </c>
      <c r="AA40" s="337">
        <v>1516975</v>
      </c>
      <c r="AB40" s="337">
        <v>1000000</v>
      </c>
      <c r="AC40" s="357">
        <v>920211.52</v>
      </c>
    </row>
    <row r="41" spans="2:29" ht="36" customHeight="1">
      <c r="B41" s="79" t="s">
        <v>51</v>
      </c>
      <c r="C41" s="80">
        <v>346835.45</v>
      </c>
      <c r="D41" s="81">
        <v>495273.82</v>
      </c>
      <c r="E41" s="81">
        <v>403633.75</v>
      </c>
      <c r="F41" s="83">
        <v>404808.41</v>
      </c>
      <c r="G41" s="148">
        <v>517840</v>
      </c>
      <c r="H41" s="148">
        <v>550000</v>
      </c>
      <c r="I41" s="148">
        <v>682000</v>
      </c>
      <c r="J41" s="230">
        <v>661280.89</v>
      </c>
      <c r="K41" s="230">
        <v>568517.16</v>
      </c>
      <c r="L41" s="148">
        <v>517000</v>
      </c>
      <c r="M41" s="252">
        <v>480000</v>
      </c>
      <c r="N41" s="254">
        <v>540000</v>
      </c>
      <c r="O41" s="254">
        <v>620000</v>
      </c>
      <c r="P41" s="84">
        <v>550000</v>
      </c>
      <c r="Q41" s="84">
        <v>527000</v>
      </c>
      <c r="R41" s="84">
        <v>521000</v>
      </c>
      <c r="S41" s="133">
        <v>452000</v>
      </c>
      <c r="T41" s="84">
        <v>387000</v>
      </c>
      <c r="U41" s="84">
        <v>328000</v>
      </c>
      <c r="V41" s="84">
        <v>276000</v>
      </c>
      <c r="W41" s="84">
        <v>223000</v>
      </c>
      <c r="X41" s="84">
        <v>175000</v>
      </c>
      <c r="Y41" s="330">
        <v>122000</v>
      </c>
      <c r="Z41" s="330">
        <v>72000</v>
      </c>
      <c r="AA41" s="330">
        <v>50000</v>
      </c>
      <c r="AB41" s="330">
        <v>45000</v>
      </c>
      <c r="AC41" s="353">
        <v>45000</v>
      </c>
    </row>
    <row r="42" spans="2:29" ht="39.75" customHeight="1">
      <c r="B42" s="79" t="s">
        <v>52</v>
      </c>
      <c r="C42" s="131">
        <v>0</v>
      </c>
      <c r="D42" s="131">
        <v>0</v>
      </c>
      <c r="E42" s="131">
        <v>0</v>
      </c>
      <c r="F42" s="132">
        <v>0</v>
      </c>
      <c r="G42" s="158">
        <v>0</v>
      </c>
      <c r="H42" s="158">
        <v>0</v>
      </c>
      <c r="I42" s="235">
        <v>0</v>
      </c>
      <c r="J42" s="235">
        <v>0</v>
      </c>
      <c r="K42" s="235">
        <v>0</v>
      </c>
      <c r="L42" s="158">
        <v>0</v>
      </c>
      <c r="M42" s="277">
        <v>0</v>
      </c>
      <c r="N42" s="255">
        <v>0</v>
      </c>
      <c r="O42" s="255">
        <v>0</v>
      </c>
      <c r="P42" s="133">
        <v>0</v>
      </c>
      <c r="Q42" s="133">
        <v>500000</v>
      </c>
      <c r="R42" s="133">
        <v>500000</v>
      </c>
      <c r="S42" s="84">
        <v>500000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338">
        <v>0</v>
      </c>
      <c r="Z42" s="338">
        <v>0</v>
      </c>
      <c r="AA42" s="338">
        <v>0</v>
      </c>
      <c r="AB42" s="338">
        <v>0</v>
      </c>
      <c r="AC42" s="135">
        <v>0</v>
      </c>
    </row>
    <row r="43" spans="2:29" ht="34.5" customHeight="1">
      <c r="B43" s="79" t="s">
        <v>53</v>
      </c>
      <c r="C43" s="80">
        <v>0</v>
      </c>
      <c r="D43" s="81">
        <v>0</v>
      </c>
      <c r="E43" s="81">
        <v>0</v>
      </c>
      <c r="F43" s="83">
        <v>0</v>
      </c>
      <c r="G43" s="148">
        <v>0</v>
      </c>
      <c r="H43" s="148">
        <v>0</v>
      </c>
      <c r="I43" s="230">
        <v>0</v>
      </c>
      <c r="J43" s="230">
        <v>0</v>
      </c>
      <c r="K43" s="230">
        <v>55050</v>
      </c>
      <c r="L43" s="148">
        <v>50000</v>
      </c>
      <c r="M43" s="252">
        <v>50000</v>
      </c>
      <c r="N43" s="254">
        <v>50000</v>
      </c>
      <c r="O43" s="254">
        <v>50000</v>
      </c>
      <c r="P43" s="84">
        <v>50000</v>
      </c>
      <c r="Q43" s="84">
        <v>45000</v>
      </c>
      <c r="R43" s="84">
        <v>24000</v>
      </c>
      <c r="S43" s="216">
        <v>24000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330">
        <v>0</v>
      </c>
      <c r="Z43" s="330">
        <v>0</v>
      </c>
      <c r="AA43" s="330">
        <v>0</v>
      </c>
      <c r="AB43" s="330">
        <v>0</v>
      </c>
      <c r="AC43" s="86">
        <v>0</v>
      </c>
    </row>
    <row r="44" spans="2:29" ht="67.5" customHeight="1">
      <c r="B44" s="79" t="s">
        <v>54</v>
      </c>
      <c r="C44" s="131">
        <v>0</v>
      </c>
      <c r="D44" s="131">
        <v>0</v>
      </c>
      <c r="E44" s="131">
        <v>0</v>
      </c>
      <c r="F44" s="132">
        <v>0</v>
      </c>
      <c r="G44" s="158">
        <v>0</v>
      </c>
      <c r="H44" s="158">
        <v>0</v>
      </c>
      <c r="I44" s="235">
        <v>0</v>
      </c>
      <c r="J44" s="235">
        <v>0</v>
      </c>
      <c r="K44" s="235">
        <v>0</v>
      </c>
      <c r="L44" s="158">
        <v>0</v>
      </c>
      <c r="M44" s="277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338">
        <v>0</v>
      </c>
      <c r="Z44" s="338">
        <v>0</v>
      </c>
      <c r="AA44" s="338">
        <v>0</v>
      </c>
      <c r="AB44" s="338">
        <v>0</v>
      </c>
      <c r="AC44" s="135">
        <v>0</v>
      </c>
    </row>
    <row r="45" spans="2:29" ht="63.75" customHeight="1" thickBot="1">
      <c r="B45" s="105" t="s">
        <v>55</v>
      </c>
      <c r="C45" s="106">
        <v>0</v>
      </c>
      <c r="D45" s="186">
        <v>0</v>
      </c>
      <c r="E45" s="186">
        <v>0</v>
      </c>
      <c r="F45" s="187">
        <v>0</v>
      </c>
      <c r="G45" s="188">
        <v>0</v>
      </c>
      <c r="H45" s="188">
        <v>0</v>
      </c>
      <c r="I45" s="236">
        <v>0</v>
      </c>
      <c r="J45" s="236">
        <v>0</v>
      </c>
      <c r="K45" s="236">
        <v>0</v>
      </c>
      <c r="L45" s="364">
        <v>0</v>
      </c>
      <c r="M45" s="382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339">
        <v>0</v>
      </c>
      <c r="Z45" s="339">
        <v>0</v>
      </c>
      <c r="AA45" s="339">
        <v>0</v>
      </c>
      <c r="AB45" s="339">
        <v>0</v>
      </c>
      <c r="AC45" s="165">
        <v>0</v>
      </c>
    </row>
    <row r="46" spans="2:29" ht="32.25" customHeight="1" thickBot="1">
      <c r="B46" s="141" t="s">
        <v>85</v>
      </c>
      <c r="C46" s="169">
        <f>C39/C9</f>
        <v>0.08164028659842695</v>
      </c>
      <c r="D46" s="169">
        <f>D39/D9</f>
        <v>0.09350173500059455</v>
      </c>
      <c r="E46" s="170">
        <f>E39/E9</f>
        <v>0.09869939650525177</v>
      </c>
      <c r="F46" s="180">
        <f>F39/F9</f>
        <v>0.0839616554325086</v>
      </c>
      <c r="G46" s="180">
        <f>G39/G9</f>
        <v>0.10152524118720396</v>
      </c>
      <c r="H46" s="180">
        <v>0.1279</v>
      </c>
      <c r="I46" s="180">
        <f>SUM(I39,-I30)/I9</f>
        <v>0.16340076227029016</v>
      </c>
      <c r="J46" s="180">
        <f>J39/J9</f>
        <v>0.03717589778876815</v>
      </c>
      <c r="K46" s="293">
        <f>(K39-K30)/K9</f>
        <v>0.04805911663997458</v>
      </c>
      <c r="L46" s="192">
        <f>(L39)/L9</f>
        <v>0.045549002891870735</v>
      </c>
      <c r="M46" s="304">
        <v>0.0398</v>
      </c>
      <c r="N46" s="305">
        <v>0.0423</v>
      </c>
      <c r="O46" s="346">
        <v>0.0552</v>
      </c>
      <c r="P46" s="305">
        <v>0.0597</v>
      </c>
      <c r="Q46" s="305">
        <v>0.0491</v>
      </c>
      <c r="R46" s="305">
        <v>0.0626</v>
      </c>
      <c r="S46" s="305">
        <v>0.0635</v>
      </c>
      <c r="T46" s="305">
        <v>0.0617</v>
      </c>
      <c r="U46" s="305">
        <v>0.0583</v>
      </c>
      <c r="V46" s="305">
        <v>0.0568</v>
      </c>
      <c r="W46" s="305">
        <v>0.0551</v>
      </c>
      <c r="X46" s="305">
        <v>0.0534</v>
      </c>
      <c r="Y46" s="305">
        <v>0.0517</v>
      </c>
      <c r="Z46" s="305">
        <v>0.0501</v>
      </c>
      <c r="AA46" s="305">
        <v>0.0471</v>
      </c>
      <c r="AB46" s="305">
        <v>0.0314</v>
      </c>
      <c r="AC46" s="306">
        <v>0.0168</v>
      </c>
    </row>
    <row r="47" spans="2:29" ht="42" customHeight="1" thickBot="1">
      <c r="B47" s="219" t="s">
        <v>57</v>
      </c>
      <c r="C47" s="189">
        <f>SUM(C48,C50,C52:C53)</f>
        <v>8261978.7299999995</v>
      </c>
      <c r="D47" s="190">
        <f>SUM(D48,D50,D52:D53)</f>
        <v>8193000.000000001</v>
      </c>
      <c r="E47" s="191">
        <f>SUM(E48,E50,E52:E53)</f>
        <v>8790000</v>
      </c>
      <c r="F47" s="267">
        <f>SUM(F48,F50,F52:F53)</f>
        <v>9648000</v>
      </c>
      <c r="G47" s="192">
        <f>SUM(G50,G48,G52,G53)</f>
        <v>10971628.66</v>
      </c>
      <c r="H47" s="192">
        <f>SUM(H50,H48,H52,H53)</f>
        <v>13410127</v>
      </c>
      <c r="I47" s="192">
        <f>SUM(I50,I48,I52,)</f>
        <v>13991288.18</v>
      </c>
      <c r="J47" s="192">
        <f>SUM(J50,J48,J52,J53)</f>
        <v>15831354.83</v>
      </c>
      <c r="K47" s="192">
        <f>SUM(K50,K48,K52,K53)</f>
        <v>16778306.18</v>
      </c>
      <c r="L47" s="192">
        <f>SUM(L50,L48,L52,L53)</f>
        <v>15699318.68</v>
      </c>
      <c r="M47" s="240">
        <f aca="true" t="shared" si="19" ref="M47:X47">SUM(M50,M48,M52,M53)</f>
        <v>16125586.68</v>
      </c>
      <c r="N47" s="203">
        <f>SUM(N50,N48,N52,N53)</f>
        <v>18391211.2</v>
      </c>
      <c r="O47" s="203">
        <f t="shared" si="19"/>
        <v>18858386.52</v>
      </c>
      <c r="P47" s="203">
        <f t="shared" si="19"/>
        <v>18557186.52</v>
      </c>
      <c r="Q47" s="203">
        <f t="shared" si="19"/>
        <v>17477186.52</v>
      </c>
      <c r="R47" s="203">
        <f t="shared" si="19"/>
        <v>15937186.52</v>
      </c>
      <c r="S47" s="203">
        <f t="shared" si="19"/>
        <v>14297186.52</v>
      </c>
      <c r="T47" s="203">
        <f t="shared" si="19"/>
        <v>12637186.52</v>
      </c>
      <c r="U47" s="203">
        <f t="shared" si="19"/>
        <v>11037186.52</v>
      </c>
      <c r="V47" s="203">
        <f t="shared" si="19"/>
        <v>9437186.52</v>
      </c>
      <c r="W47" s="203">
        <f t="shared" si="19"/>
        <v>7837186.52</v>
      </c>
      <c r="X47" s="391">
        <f t="shared" si="19"/>
        <v>6237186.52</v>
      </c>
      <c r="Y47" s="391">
        <f>SUM(Y50,Y48,Y52,Y53)</f>
        <v>4637186.52</v>
      </c>
      <c r="Z47" s="391">
        <f>SUM(Z50,Z48,Z52,Z53)</f>
        <v>3037186.5199999996</v>
      </c>
      <c r="AA47" s="391">
        <f>SUM(AA50,AA48,AA52,AA53)</f>
        <v>1520211.5199999996</v>
      </c>
      <c r="AB47" s="391">
        <f>SUM(AB50,AB48,AB52,AB53)</f>
        <v>520211.51999999955</v>
      </c>
      <c r="AC47" s="358">
        <f>SUM(AC50,AC48,AC52,AC53)</f>
        <v>-4.656612873077393E-10</v>
      </c>
    </row>
    <row r="48" spans="2:29" ht="27" customHeight="1">
      <c r="B48" s="136" t="s">
        <v>58</v>
      </c>
      <c r="C48" s="137">
        <v>0</v>
      </c>
      <c r="D48" s="138">
        <v>0</v>
      </c>
      <c r="E48" s="139">
        <v>0</v>
      </c>
      <c r="F48" s="268">
        <v>0</v>
      </c>
      <c r="G48" s="157">
        <v>0</v>
      </c>
      <c r="H48" s="222">
        <v>0</v>
      </c>
      <c r="I48" s="237">
        <v>1500000</v>
      </c>
      <c r="J48" s="157">
        <v>1500000</v>
      </c>
      <c r="K48" s="157">
        <v>1500000</v>
      </c>
      <c r="L48" s="157">
        <v>1500000</v>
      </c>
      <c r="M48" s="273">
        <v>1500000</v>
      </c>
      <c r="N48" s="274">
        <v>1500000</v>
      </c>
      <c r="O48" s="274">
        <v>1500000</v>
      </c>
      <c r="P48" s="274">
        <v>1500000</v>
      </c>
      <c r="Q48" s="274">
        <v>1000000</v>
      </c>
      <c r="R48" s="274">
        <v>500000</v>
      </c>
      <c r="S48" s="274">
        <v>0</v>
      </c>
      <c r="T48" s="275">
        <v>0</v>
      </c>
      <c r="U48" s="275">
        <v>0</v>
      </c>
      <c r="V48" s="275">
        <v>0</v>
      </c>
      <c r="W48" s="275">
        <v>0</v>
      </c>
      <c r="X48" s="275">
        <v>0</v>
      </c>
      <c r="Y48" s="340">
        <v>0</v>
      </c>
      <c r="Z48" s="340">
        <v>0</v>
      </c>
      <c r="AA48" s="340">
        <v>0</v>
      </c>
      <c r="AB48" s="340">
        <v>0</v>
      </c>
      <c r="AC48" s="276">
        <v>0</v>
      </c>
    </row>
    <row r="49" spans="2:29" ht="24" customHeight="1">
      <c r="B49" s="79" t="s">
        <v>59</v>
      </c>
      <c r="C49" s="80">
        <v>0</v>
      </c>
      <c r="D49" s="131">
        <v>0</v>
      </c>
      <c r="E49" s="132">
        <v>0</v>
      </c>
      <c r="F49" s="223">
        <v>0</v>
      </c>
      <c r="G49" s="158">
        <v>0</v>
      </c>
      <c r="H49" s="223">
        <v>0</v>
      </c>
      <c r="I49" s="238">
        <v>0</v>
      </c>
      <c r="J49" s="158">
        <v>0</v>
      </c>
      <c r="K49" s="158">
        <v>0</v>
      </c>
      <c r="L49" s="158">
        <v>0</v>
      </c>
      <c r="M49" s="277">
        <v>0</v>
      </c>
      <c r="N49" s="255">
        <v>0</v>
      </c>
      <c r="O49" s="255">
        <v>0</v>
      </c>
      <c r="P49" s="255">
        <v>0</v>
      </c>
      <c r="Q49" s="255">
        <v>0</v>
      </c>
      <c r="R49" s="255">
        <v>0</v>
      </c>
      <c r="S49" s="255">
        <v>0</v>
      </c>
      <c r="T49" s="278">
        <v>0</v>
      </c>
      <c r="U49" s="278">
        <v>0</v>
      </c>
      <c r="V49" s="278">
        <v>0</v>
      </c>
      <c r="W49" s="278">
        <v>0</v>
      </c>
      <c r="X49" s="278">
        <v>0</v>
      </c>
      <c r="Y49" s="341">
        <v>0</v>
      </c>
      <c r="Z49" s="341">
        <v>0</v>
      </c>
      <c r="AA49" s="341">
        <v>0</v>
      </c>
      <c r="AB49" s="341">
        <v>0</v>
      </c>
      <c r="AC49" s="279">
        <v>0</v>
      </c>
    </row>
    <row r="50" spans="2:30" ht="21" customHeight="1">
      <c r="B50" s="79" t="s">
        <v>60</v>
      </c>
      <c r="C50" s="80">
        <f>C61+C19-C29-C35</f>
        <v>8190164.96</v>
      </c>
      <c r="D50" s="131">
        <f>C50+D19-D29</f>
        <v>8193000.000000001</v>
      </c>
      <c r="E50" s="132">
        <f>D50+E19-E29</f>
        <v>8790000</v>
      </c>
      <c r="F50" s="158">
        <f>E50+F19-F29</f>
        <v>9648000</v>
      </c>
      <c r="G50" s="158">
        <v>10709453.67</v>
      </c>
      <c r="H50" s="158">
        <v>13327987</v>
      </c>
      <c r="I50" s="223">
        <v>12491288.18</v>
      </c>
      <c r="J50" s="249">
        <v>13878751.92</v>
      </c>
      <c r="K50" s="249">
        <v>15073436.68</v>
      </c>
      <c r="L50" s="249">
        <f>K50+L19-L29</f>
        <v>14199318.68</v>
      </c>
      <c r="M50" s="280">
        <v>14625586.68</v>
      </c>
      <c r="N50" s="281">
        <f>M50+N19+N20-N29</f>
        <v>16891211.2</v>
      </c>
      <c r="O50" s="281">
        <f aca="true" t="shared" si="20" ref="O50:W50">N50+O19-O29</f>
        <v>17358386.52</v>
      </c>
      <c r="P50" s="281">
        <f t="shared" si="20"/>
        <v>17057186.52</v>
      </c>
      <c r="Q50" s="281">
        <f t="shared" si="20"/>
        <v>16477186.52</v>
      </c>
      <c r="R50" s="281">
        <f t="shared" si="20"/>
        <v>15437186.52</v>
      </c>
      <c r="S50" s="281">
        <f t="shared" si="20"/>
        <v>14297186.52</v>
      </c>
      <c r="T50" s="281">
        <f t="shared" si="20"/>
        <v>12637186.52</v>
      </c>
      <c r="U50" s="281">
        <f t="shared" si="20"/>
        <v>11037186.52</v>
      </c>
      <c r="V50" s="281">
        <f t="shared" si="20"/>
        <v>9437186.52</v>
      </c>
      <c r="W50" s="281">
        <f t="shared" si="20"/>
        <v>7837186.52</v>
      </c>
      <c r="X50" s="281">
        <f>W50+X19-X29</f>
        <v>6237186.52</v>
      </c>
      <c r="Y50" s="249">
        <f>X50+Y19-Y29</f>
        <v>4637186.52</v>
      </c>
      <c r="Z50" s="249">
        <f>Y50+Z19-Z29</f>
        <v>3037186.5199999996</v>
      </c>
      <c r="AA50" s="249">
        <f>Z50+AA19-AA29</f>
        <v>1520211.5199999996</v>
      </c>
      <c r="AB50" s="249">
        <f>AA50+AB19-AB29</f>
        <v>520211.51999999955</v>
      </c>
      <c r="AC50" s="392">
        <f aca="true" t="shared" si="21" ref="Z50:AC51">AB50+AC19-AC29</f>
        <v>-4.656612873077393E-10</v>
      </c>
      <c r="AD50" s="181"/>
    </row>
    <row r="51" spans="2:31" ht="49.5" customHeight="1">
      <c r="B51" s="79" t="s">
        <v>61</v>
      </c>
      <c r="C51" s="80">
        <f>C20-C30</f>
        <v>250165.30000000005</v>
      </c>
      <c r="D51" s="80">
        <v>0</v>
      </c>
      <c r="E51" s="140">
        <f>E20-E30</f>
        <v>0</v>
      </c>
      <c r="F51" s="224">
        <f>F20-F30</f>
        <v>0</v>
      </c>
      <c r="G51" s="159">
        <f>G20-G30</f>
        <v>294498.66</v>
      </c>
      <c r="H51" s="224">
        <v>662585.15</v>
      </c>
      <c r="I51" s="224">
        <v>0</v>
      </c>
      <c r="J51" s="159">
        <v>360447.24</v>
      </c>
      <c r="K51" s="159">
        <v>0</v>
      </c>
      <c r="L51" s="159">
        <v>0</v>
      </c>
      <c r="M51" s="295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f aca="true" t="shared" si="22" ref="R51:X51">Q51+R20-R30</f>
        <v>0</v>
      </c>
      <c r="S51" s="282">
        <f t="shared" si="22"/>
        <v>0</v>
      </c>
      <c r="T51" s="282">
        <f t="shared" si="22"/>
        <v>0</v>
      </c>
      <c r="U51" s="282">
        <f t="shared" si="22"/>
        <v>0</v>
      </c>
      <c r="V51" s="282">
        <f t="shared" si="22"/>
        <v>0</v>
      </c>
      <c r="W51" s="282">
        <f t="shared" si="22"/>
        <v>0</v>
      </c>
      <c r="X51" s="282">
        <f t="shared" si="22"/>
        <v>0</v>
      </c>
      <c r="Y51" s="159">
        <f>X51+Y20-Y30</f>
        <v>0</v>
      </c>
      <c r="Z51" s="159">
        <f t="shared" si="21"/>
        <v>0</v>
      </c>
      <c r="AA51" s="159">
        <f t="shared" si="21"/>
        <v>0</v>
      </c>
      <c r="AB51" s="159">
        <f t="shared" si="21"/>
        <v>0</v>
      </c>
      <c r="AC51" s="250">
        <f>Y51+AC20-AC30</f>
        <v>0</v>
      </c>
      <c r="AE51" s="66">
        <f>SUM(G51:T51)</f>
        <v>1317531.05</v>
      </c>
    </row>
    <row r="52" spans="2:29" ht="25.5" customHeight="1">
      <c r="B52" s="79" t="s">
        <v>62</v>
      </c>
      <c r="C52" s="80">
        <v>0</v>
      </c>
      <c r="D52" s="81">
        <v>0</v>
      </c>
      <c r="E52" s="83">
        <v>0</v>
      </c>
      <c r="F52" s="269">
        <v>0</v>
      </c>
      <c r="G52" s="148">
        <v>0</v>
      </c>
      <c r="H52" s="225">
        <v>0</v>
      </c>
      <c r="I52" s="225"/>
      <c r="J52" s="148">
        <v>0</v>
      </c>
      <c r="K52" s="148">
        <v>0</v>
      </c>
      <c r="L52" s="148">
        <v>0</v>
      </c>
      <c r="M52" s="252">
        <v>0</v>
      </c>
      <c r="N52" s="254">
        <v>0</v>
      </c>
      <c r="O52" s="254">
        <v>0</v>
      </c>
      <c r="P52" s="254">
        <v>0</v>
      </c>
      <c r="Q52" s="254">
        <v>0</v>
      </c>
      <c r="R52" s="254">
        <v>0</v>
      </c>
      <c r="S52" s="254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342">
        <v>0</v>
      </c>
      <c r="Z52" s="342">
        <v>0</v>
      </c>
      <c r="AA52" s="342">
        <v>0</v>
      </c>
      <c r="AB52" s="342">
        <v>0</v>
      </c>
      <c r="AC52" s="284">
        <v>0</v>
      </c>
    </row>
    <row r="53" spans="2:29" ht="27.75" customHeight="1" thickBot="1">
      <c r="B53" s="105" t="s">
        <v>63</v>
      </c>
      <c r="C53" s="106">
        <v>71813.77</v>
      </c>
      <c r="D53" s="107">
        <v>0</v>
      </c>
      <c r="E53" s="108">
        <v>0</v>
      </c>
      <c r="F53" s="244">
        <v>0</v>
      </c>
      <c r="G53" s="204">
        <v>262174.99</v>
      </c>
      <c r="H53" s="244">
        <v>82140</v>
      </c>
      <c r="I53" s="243">
        <v>419711.75</v>
      </c>
      <c r="J53" s="149">
        <v>452602.91</v>
      </c>
      <c r="K53" s="149">
        <v>204869.5</v>
      </c>
      <c r="L53" s="149">
        <v>0</v>
      </c>
      <c r="M53" s="251">
        <v>0</v>
      </c>
      <c r="N53" s="285">
        <v>0</v>
      </c>
      <c r="O53" s="285">
        <v>0</v>
      </c>
      <c r="P53" s="285">
        <v>0</v>
      </c>
      <c r="Q53" s="285">
        <v>0</v>
      </c>
      <c r="R53" s="285">
        <v>0</v>
      </c>
      <c r="S53" s="285">
        <v>0</v>
      </c>
      <c r="T53" s="286">
        <v>0</v>
      </c>
      <c r="U53" s="286">
        <v>0</v>
      </c>
      <c r="V53" s="286">
        <v>0</v>
      </c>
      <c r="W53" s="286">
        <v>0</v>
      </c>
      <c r="X53" s="286">
        <v>0</v>
      </c>
      <c r="Y53" s="343">
        <v>0</v>
      </c>
      <c r="Z53" s="343">
        <v>0</v>
      </c>
      <c r="AA53" s="343">
        <v>0</v>
      </c>
      <c r="AB53" s="343">
        <v>0</v>
      </c>
      <c r="AC53" s="287">
        <v>0</v>
      </c>
    </row>
    <row r="54" spans="2:29" ht="36" customHeight="1" thickBot="1">
      <c r="B54" s="219" t="s">
        <v>86</v>
      </c>
      <c r="C54" s="166">
        <f>(C47-C49-C51)*1/C9</f>
        <v>0.47994550229693983</v>
      </c>
      <c r="D54" s="169">
        <f>(D47-D49-D51)*1/D9</f>
        <v>0.4656123885616094</v>
      </c>
      <c r="E54" s="170">
        <f>(E47-E49-E51)*1/E9</f>
        <v>0.4908073831930189</v>
      </c>
      <c r="F54" s="167">
        <f>F47/F9</f>
        <v>0.5022679982260527</v>
      </c>
      <c r="G54" s="169">
        <f>G47/G9</f>
        <v>0.5476818461250342</v>
      </c>
      <c r="H54" s="170">
        <f>H47/H9</f>
        <v>0.5651711691768877</v>
      </c>
      <c r="I54" s="239">
        <f>(I47)/I9</f>
        <v>0.528689866162988</v>
      </c>
      <c r="J54" s="239">
        <f>(J47-J51)/J9</f>
        <v>0.6563476230382217</v>
      </c>
      <c r="K54" s="239">
        <f>(K47-K53)/K9</f>
        <v>0.6279428004261195</v>
      </c>
      <c r="L54" s="239">
        <f>L47/L9</f>
        <v>0.49620385836254927</v>
      </c>
      <c r="M54" s="241">
        <f>M47/M9</f>
        <v>0.469485126283249</v>
      </c>
      <c r="N54" s="172">
        <f>N47/N9</f>
        <v>0.5024805632198451</v>
      </c>
      <c r="O54" s="172">
        <f aca="true" t="shared" si="23" ref="O54:T54">O47/O9</f>
        <v>0.5298858728797308</v>
      </c>
      <c r="P54" s="172">
        <f>P47/P9</f>
        <v>0.5441854534417764</v>
      </c>
      <c r="Q54" s="172">
        <f t="shared" si="23"/>
        <v>0.5192796218275167</v>
      </c>
      <c r="R54" s="172">
        <f t="shared" si="23"/>
        <v>0.47887343196101556</v>
      </c>
      <c r="S54" s="172">
        <f t="shared" si="23"/>
        <v>0.4292600682195448</v>
      </c>
      <c r="T54" s="172">
        <f t="shared" si="23"/>
        <v>0.3807805509433889</v>
      </c>
      <c r="U54" s="172">
        <f aca="true" t="shared" si="24" ref="U54:AC54">U47/U9</f>
        <v>0.33388348972986054</v>
      </c>
      <c r="V54" s="172">
        <f t="shared" si="24"/>
        <v>0.285542708623298</v>
      </c>
      <c r="W54" s="172">
        <f t="shared" si="24"/>
        <v>0.2369304831005502</v>
      </c>
      <c r="X54" s="172">
        <f t="shared" si="24"/>
        <v>0.18752815754660251</v>
      </c>
      <c r="Y54" s="344">
        <f t="shared" si="24"/>
        <v>0.13909612214289999</v>
      </c>
      <c r="Z54" s="344">
        <f>Z47/Z9</f>
        <v>0.09106459942432236</v>
      </c>
      <c r="AA54" s="344">
        <f>AA47/AA9</f>
        <v>0.045679432692307675</v>
      </c>
      <c r="AB54" s="344">
        <f>AB47/AB9</f>
        <v>0.01562431356059467</v>
      </c>
      <c r="AC54" s="182">
        <f t="shared" si="24"/>
        <v>-1.3877552892497072E-17</v>
      </c>
    </row>
    <row r="55" spans="2:29" ht="61.5" customHeight="1" thickBot="1">
      <c r="B55" s="219" t="s">
        <v>92</v>
      </c>
      <c r="C55" s="142" t="s">
        <v>66</v>
      </c>
      <c r="D55" s="143" t="s">
        <v>66</v>
      </c>
      <c r="E55" s="180">
        <f>(D70+C70+E70)/3</f>
        <v>0.04818339102532702</v>
      </c>
      <c r="F55" s="167">
        <v>0.15</v>
      </c>
      <c r="G55" s="169">
        <v>0.15</v>
      </c>
      <c r="H55" s="170">
        <v>0.15</v>
      </c>
      <c r="I55" s="180">
        <v>0.15</v>
      </c>
      <c r="J55" s="180">
        <f>(I70+H70+G70)/3/100</f>
        <v>0.039910944143265084</v>
      </c>
      <c r="K55" s="180">
        <f>(J70+I70+H70)/3/100</f>
        <v>0.050105268352274086</v>
      </c>
      <c r="L55" s="180">
        <f>(K70+J70+I70)/3/100</f>
        <v>0.06657731491052368</v>
      </c>
      <c r="M55" s="166">
        <v>0.0781</v>
      </c>
      <c r="N55" s="271">
        <v>0.0841</v>
      </c>
      <c r="O55" s="271">
        <v>0.0746</v>
      </c>
      <c r="P55" s="271">
        <v>0.0616</v>
      </c>
      <c r="Q55" s="271">
        <v>0.0778</v>
      </c>
      <c r="R55" s="271">
        <v>0.0914</v>
      </c>
      <c r="S55" s="271">
        <v>0.099</v>
      </c>
      <c r="T55" s="271">
        <v>0.1033</v>
      </c>
      <c r="U55" s="271">
        <v>0.1069</v>
      </c>
      <c r="V55" s="271">
        <v>0.1081</v>
      </c>
      <c r="W55" s="271">
        <v>0.1022</v>
      </c>
      <c r="X55" s="271">
        <v>0.0964</v>
      </c>
      <c r="Y55" s="345">
        <v>0.0952</v>
      </c>
      <c r="Z55" s="345">
        <v>0.0974</v>
      </c>
      <c r="AA55" s="345">
        <v>0.0992</v>
      </c>
      <c r="AB55" s="345">
        <v>0.0995</v>
      </c>
      <c r="AC55" s="272">
        <v>0.0995</v>
      </c>
    </row>
    <row r="56" spans="2:29" ht="61.5" customHeight="1" thickBot="1">
      <c r="B56" s="144" t="s">
        <v>67</v>
      </c>
      <c r="C56" s="145" t="s">
        <v>66</v>
      </c>
      <c r="D56" s="146" t="s">
        <v>66</v>
      </c>
      <c r="E56" s="174" t="s">
        <v>66</v>
      </c>
      <c r="F56" s="270" t="s">
        <v>66</v>
      </c>
      <c r="G56" s="174" t="s">
        <v>66</v>
      </c>
      <c r="H56" s="193" t="s">
        <v>66</v>
      </c>
      <c r="I56" s="193" t="s">
        <v>66</v>
      </c>
      <c r="J56" s="193" t="s">
        <v>87</v>
      </c>
      <c r="K56" s="193" t="s">
        <v>87</v>
      </c>
      <c r="L56" s="193" t="s">
        <v>87</v>
      </c>
      <c r="M56" s="242" t="s">
        <v>87</v>
      </c>
      <c r="N56" s="394" t="s">
        <v>87</v>
      </c>
      <c r="O56" s="146" t="s">
        <v>87</v>
      </c>
      <c r="P56" s="146" t="s">
        <v>87</v>
      </c>
      <c r="Q56" s="146" t="s">
        <v>87</v>
      </c>
      <c r="R56" s="146" t="s">
        <v>87</v>
      </c>
      <c r="S56" s="146" t="s">
        <v>87</v>
      </c>
      <c r="T56" s="146" t="s">
        <v>87</v>
      </c>
      <c r="U56" s="146" t="s">
        <v>87</v>
      </c>
      <c r="V56" s="146" t="s">
        <v>87</v>
      </c>
      <c r="W56" s="146" t="s">
        <v>87</v>
      </c>
      <c r="X56" s="146" t="s">
        <v>87</v>
      </c>
      <c r="Y56" s="174" t="s">
        <v>87</v>
      </c>
      <c r="Z56" s="174" t="s">
        <v>87</v>
      </c>
      <c r="AA56" s="174" t="s">
        <v>87</v>
      </c>
      <c r="AB56" s="174" t="s">
        <v>87</v>
      </c>
      <c r="AC56" s="183" t="s">
        <v>87</v>
      </c>
    </row>
    <row r="57" spans="6:30" ht="12.75"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2:30" ht="24" customHeight="1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64"/>
    </row>
    <row r="59" spans="2:30" ht="12.75" customHeight="1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64"/>
    </row>
    <row r="60" spans="2:30" ht="20.25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64"/>
    </row>
    <row r="61" spans="2:30" s="168" customFormat="1" ht="12.75">
      <c r="B61" s="173"/>
      <c r="C61" s="197">
        <v>7189999.66</v>
      </c>
      <c r="D61" s="197">
        <f>C62+D19-D40</f>
        <v>8193000</v>
      </c>
      <c r="E61" s="197">
        <f>D62+E19-E40</f>
        <v>8790000</v>
      </c>
      <c r="F61" s="197">
        <f aca="true" t="shared" si="25" ref="F61:K61">E62+F19-F29</f>
        <v>9648000</v>
      </c>
      <c r="G61" s="197">
        <f t="shared" si="25"/>
        <v>10971628.66</v>
      </c>
      <c r="H61" s="197">
        <f t="shared" si="25"/>
        <v>12771313.16</v>
      </c>
      <c r="I61" s="197">
        <f t="shared" si="25"/>
        <v>11828703.219999999</v>
      </c>
      <c r="J61" s="197">
        <f t="shared" si="25"/>
        <v>13962151.92</v>
      </c>
      <c r="K61" s="197">
        <f t="shared" si="25"/>
        <v>14712989.44</v>
      </c>
      <c r="L61" s="197">
        <f>K62+L19-L29</f>
        <v>14199318.68</v>
      </c>
      <c r="M61" s="197">
        <f aca="true" t="shared" si="26" ref="M61:T61">L62+M19-M29</f>
        <v>14625586.68</v>
      </c>
      <c r="N61" s="197">
        <f t="shared" si="26"/>
        <v>16138111.2</v>
      </c>
      <c r="O61" s="197">
        <f t="shared" si="26"/>
        <v>17358386.52</v>
      </c>
      <c r="P61" s="197">
        <f t="shared" si="26"/>
        <v>17057186.52</v>
      </c>
      <c r="Q61" s="197">
        <f t="shared" si="26"/>
        <v>16477186.52</v>
      </c>
      <c r="R61" s="197">
        <f t="shared" si="26"/>
        <v>15437186.52</v>
      </c>
      <c r="S61" s="197">
        <f t="shared" si="26"/>
        <v>14297186.52</v>
      </c>
      <c r="T61" s="197">
        <f t="shared" si="26"/>
        <v>12637186.52</v>
      </c>
      <c r="U61" s="197">
        <f>T62+U19-U29</f>
        <v>11037186.52</v>
      </c>
      <c r="V61" s="197">
        <f>U62+V19-V29</f>
        <v>9437186.52</v>
      </c>
      <c r="W61" s="197">
        <f>V62+W19-W29</f>
        <v>7837186.52</v>
      </c>
      <c r="X61" s="197">
        <f>W62+X19-X29</f>
        <v>6237186.52</v>
      </c>
      <c r="Y61" s="197">
        <f>X62+Y19-Y29</f>
        <v>4637186.52</v>
      </c>
      <c r="Z61" s="197"/>
      <c r="AA61" s="197"/>
      <c r="AB61" s="197"/>
      <c r="AC61" s="197">
        <f>Y62+AC19-AC29</f>
        <v>4116974.9999999995</v>
      </c>
      <c r="AD61" s="64"/>
    </row>
    <row r="62" spans="2:30" s="168" customFormat="1" ht="12.75">
      <c r="B62" s="173"/>
      <c r="C62" s="197">
        <f aca="true" t="shared" si="27" ref="C62:L62">C50-C51</f>
        <v>7939999.66</v>
      </c>
      <c r="D62" s="197">
        <f t="shared" si="27"/>
        <v>8193000.000000001</v>
      </c>
      <c r="E62" s="197">
        <f t="shared" si="27"/>
        <v>8790000</v>
      </c>
      <c r="F62" s="197">
        <f t="shared" si="27"/>
        <v>9648000</v>
      </c>
      <c r="G62" s="197">
        <f t="shared" si="27"/>
        <v>10414955.01</v>
      </c>
      <c r="H62" s="197">
        <f t="shared" si="27"/>
        <v>12665401.85</v>
      </c>
      <c r="I62" s="197">
        <f t="shared" si="27"/>
        <v>12491288.18</v>
      </c>
      <c r="J62" s="197">
        <f t="shared" si="27"/>
        <v>13518304.68</v>
      </c>
      <c r="K62" s="197">
        <f t="shared" si="27"/>
        <v>15073436.68</v>
      </c>
      <c r="L62" s="197">
        <f t="shared" si="27"/>
        <v>14199318.68</v>
      </c>
      <c r="M62" s="197">
        <f aca="true" t="shared" si="28" ref="M62:T62">M50-M51</f>
        <v>14625586.68</v>
      </c>
      <c r="N62" s="197">
        <f t="shared" si="28"/>
        <v>16891211.2</v>
      </c>
      <c r="O62" s="197">
        <f>O50-O51</f>
        <v>17358386.52</v>
      </c>
      <c r="P62" s="197">
        <f t="shared" si="28"/>
        <v>17057186.52</v>
      </c>
      <c r="Q62" s="197">
        <f t="shared" si="28"/>
        <v>16477186.52</v>
      </c>
      <c r="R62" s="197">
        <f t="shared" si="28"/>
        <v>15437186.52</v>
      </c>
      <c r="S62" s="197">
        <f t="shared" si="28"/>
        <v>14297186.52</v>
      </c>
      <c r="T62" s="197">
        <f t="shared" si="28"/>
        <v>12637186.52</v>
      </c>
      <c r="U62" s="197">
        <f aca="true" t="shared" si="29" ref="U62:AC62">U50-U51</f>
        <v>11037186.52</v>
      </c>
      <c r="V62" s="197">
        <f t="shared" si="29"/>
        <v>9437186.52</v>
      </c>
      <c r="W62" s="197">
        <f t="shared" si="29"/>
        <v>7837186.52</v>
      </c>
      <c r="X62" s="197">
        <f t="shared" si="29"/>
        <v>6237186.52</v>
      </c>
      <c r="Y62" s="197">
        <f t="shared" si="29"/>
        <v>4637186.52</v>
      </c>
      <c r="Z62" s="197"/>
      <c r="AA62" s="197"/>
      <c r="AB62" s="197"/>
      <c r="AC62" s="197">
        <f t="shared" si="29"/>
        <v>-4.656612873077393E-10</v>
      </c>
      <c r="AD62" s="64"/>
    </row>
    <row r="63" spans="2:30" s="168" customFormat="1" ht="12.75">
      <c r="B63" s="173"/>
      <c r="C63" s="197"/>
      <c r="D63" s="197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64"/>
    </row>
    <row r="64" spans="2:30" s="168" customFormat="1" ht="12.75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64"/>
    </row>
    <row r="65" spans="2:30" s="168" customFormat="1" ht="12.75">
      <c r="B65" s="173" t="s">
        <v>88</v>
      </c>
      <c r="C65" s="197">
        <f aca="true" t="shared" si="30" ref="C65:P65">C39-C51</f>
        <v>1112670.15</v>
      </c>
      <c r="D65" s="197">
        <f t="shared" si="30"/>
        <v>1645273.48</v>
      </c>
      <c r="E65" s="197">
        <f t="shared" si="30"/>
        <v>1767633.75</v>
      </c>
      <c r="F65" s="197">
        <f t="shared" si="30"/>
        <v>1612808.41</v>
      </c>
      <c r="G65" s="197">
        <f>G39-G51</f>
        <v>1739341.34</v>
      </c>
      <c r="H65" s="197">
        <f t="shared" si="30"/>
        <v>2268584.49</v>
      </c>
      <c r="I65" s="197">
        <f>I39-I51</f>
        <v>5504073.47</v>
      </c>
      <c r="J65" s="197">
        <f>J39-J51</f>
        <v>515833.65</v>
      </c>
      <c r="K65" s="197">
        <f t="shared" si="30"/>
        <v>2564376.0100000002</v>
      </c>
      <c r="L65" s="197">
        <f>L39-L51</f>
        <v>1441118</v>
      </c>
      <c r="M65" s="197">
        <f t="shared" si="30"/>
        <v>1381098</v>
      </c>
      <c r="N65" s="197">
        <f t="shared" si="30"/>
        <v>2300968</v>
      </c>
      <c r="O65" s="197">
        <f t="shared" si="30"/>
        <v>1964757.68</v>
      </c>
      <c r="P65" s="197">
        <f t="shared" si="30"/>
        <v>2035986</v>
      </c>
      <c r="Q65" s="197">
        <f aca="true" t="shared" si="31" ref="Q65:V65">Q39-Q51</f>
        <v>1552000</v>
      </c>
      <c r="R65" s="197">
        <f t="shared" si="31"/>
        <v>1985000</v>
      </c>
      <c r="S65" s="197">
        <f t="shared" si="31"/>
        <v>2016000</v>
      </c>
      <c r="T65" s="197">
        <f t="shared" si="31"/>
        <v>1947000</v>
      </c>
      <c r="U65" s="197">
        <f t="shared" si="31"/>
        <v>1928000</v>
      </c>
      <c r="V65" s="197">
        <f t="shared" si="31"/>
        <v>1876000</v>
      </c>
      <c r="W65" s="197">
        <f>W39-W51</f>
        <v>1823000</v>
      </c>
      <c r="X65" s="197">
        <f>X39-X51</f>
        <v>1775000</v>
      </c>
      <c r="Y65" s="197">
        <f>Y39-Y51</f>
        <v>1722000</v>
      </c>
      <c r="Z65" s="197"/>
      <c r="AA65" s="197"/>
      <c r="AB65" s="197"/>
      <c r="AC65" s="197">
        <f>AC39-AC51</f>
        <v>965211.52</v>
      </c>
      <c r="AD65" s="64"/>
    </row>
    <row r="66" spans="2:30" s="168" customFormat="1" ht="12.75">
      <c r="B66" s="173" t="s">
        <v>89</v>
      </c>
      <c r="C66" s="198">
        <f aca="true" t="shared" si="32" ref="C66:O66">C65/C9</f>
        <v>0.06665420240977346</v>
      </c>
      <c r="D66" s="199">
        <f t="shared" si="32"/>
        <v>0.09350173500059455</v>
      </c>
      <c r="E66" s="199">
        <f t="shared" si="32"/>
        <v>0.09869939650525177</v>
      </c>
      <c r="F66" s="199">
        <f t="shared" si="32"/>
        <v>0.0839616554325086</v>
      </c>
      <c r="G66" s="199">
        <f>G65/G9</f>
        <v>0.08682445475080368</v>
      </c>
      <c r="H66" s="199">
        <f t="shared" si="32"/>
        <v>0.09560972454547624</v>
      </c>
      <c r="I66" s="199">
        <f>I65/I9</f>
        <v>0.207982841091445</v>
      </c>
      <c r="J66" s="199">
        <f>J65/J9</f>
        <v>0.021884054835895377</v>
      </c>
      <c r="K66" s="199">
        <f t="shared" si="32"/>
        <v>0.09716038285578793</v>
      </c>
      <c r="L66" s="199">
        <f>L65/L9</f>
        <v>0.045549002891870735</v>
      </c>
      <c r="M66" s="199">
        <f t="shared" si="32"/>
        <v>0.04020969790474269</v>
      </c>
      <c r="N66" s="199">
        <f t="shared" si="32"/>
        <v>0.06286653358593591</v>
      </c>
      <c r="O66" s="199">
        <f t="shared" si="32"/>
        <v>0.05520606639172621</v>
      </c>
      <c r="P66" s="199">
        <f>P65/P9</f>
        <v>0.0597048460668869</v>
      </c>
      <c r="Q66" s="199">
        <f aca="true" t="shared" si="33" ref="Q66:V66">Q65/Q9</f>
        <v>0.046112798084179625</v>
      </c>
      <c r="R66" s="199">
        <f t="shared" si="33"/>
        <v>0.05964438963236881</v>
      </c>
      <c r="S66" s="199">
        <f t="shared" si="33"/>
        <v>0.060528572969236354</v>
      </c>
      <c r="T66" s="199">
        <f t="shared" si="33"/>
        <v>0.05866651817740032</v>
      </c>
      <c r="U66" s="199">
        <f t="shared" si="33"/>
        <v>0.058323501830172125</v>
      </c>
      <c r="V66" s="199">
        <f t="shared" si="33"/>
        <v>0.0567624810892587</v>
      </c>
      <c r="W66" s="199">
        <f>W65/W9</f>
        <v>0.055112159139004774</v>
      </c>
      <c r="X66" s="199">
        <f>X65/X9</f>
        <v>0.05336740829825616</v>
      </c>
      <c r="Y66" s="199">
        <f>Y65/Y9</f>
        <v>0.05165276861239426</v>
      </c>
      <c r="Z66" s="199"/>
      <c r="AA66" s="199"/>
      <c r="AB66" s="199"/>
      <c r="AC66" s="199">
        <f>AC65/AC9</f>
        <v>0.028765057964535837</v>
      </c>
      <c r="AD66" s="64"/>
    </row>
    <row r="67" spans="2:30" s="168" customFormat="1" ht="12.75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64"/>
    </row>
    <row r="68" spans="2:30" s="168" customFormat="1" ht="12.75">
      <c r="B68" s="173" t="s">
        <v>90</v>
      </c>
      <c r="C68" s="197">
        <f aca="true" t="shared" si="34" ref="C68:I68">C10+C12-C14</f>
        <v>673298.9399999995</v>
      </c>
      <c r="D68" s="197">
        <f t="shared" si="34"/>
        <v>1096852.7799999993</v>
      </c>
      <c r="E68" s="197">
        <f t="shared" si="34"/>
        <v>750070.1100000013</v>
      </c>
      <c r="F68" s="197">
        <f t="shared" si="34"/>
        <v>1107095.009999998</v>
      </c>
      <c r="G68" s="197">
        <f t="shared" si="34"/>
        <v>392471.0399999991</v>
      </c>
      <c r="H68" s="197">
        <f>H10+H12-H14</f>
        <v>923729.6900000013</v>
      </c>
      <c r="I68" s="197">
        <f t="shared" si="34"/>
        <v>1619886.6099999994</v>
      </c>
      <c r="J68" s="197">
        <f>J10+J12-J14</f>
        <v>1182670.0199999996</v>
      </c>
      <c r="K68" s="197">
        <f>K10+K12-K14</f>
        <v>2331757.6899999976</v>
      </c>
      <c r="L68" s="197">
        <f aca="true" t="shared" si="35" ref="L68:Y68">L10+L12-L14</f>
        <v>3635054.9999999963</v>
      </c>
      <c r="M68" s="197">
        <f>M10+M12-M14</f>
        <v>2515520.649999995</v>
      </c>
      <c r="N68" s="197">
        <f t="shared" si="35"/>
        <v>2188013</v>
      </c>
      <c r="O68" s="197">
        <f t="shared" si="35"/>
        <v>2705999.6799999997</v>
      </c>
      <c r="P68" s="197">
        <f t="shared" si="35"/>
        <v>3332000</v>
      </c>
      <c r="Q68" s="197">
        <f>Q10+Q12-Q14</f>
        <v>3384600</v>
      </c>
      <c r="R68" s="197">
        <f t="shared" si="35"/>
        <v>3285582</v>
      </c>
      <c r="S68" s="197">
        <f t="shared" si="35"/>
        <v>3680584</v>
      </c>
      <c r="T68" s="197">
        <f t="shared" si="35"/>
        <v>3700584</v>
      </c>
      <c r="U68" s="197">
        <f t="shared" si="35"/>
        <v>3379000</v>
      </c>
      <c r="V68" s="197">
        <f t="shared" si="35"/>
        <v>3074000</v>
      </c>
      <c r="W68" s="197">
        <f t="shared" si="35"/>
        <v>3105000</v>
      </c>
      <c r="X68" s="197">
        <f t="shared" si="35"/>
        <v>3285000</v>
      </c>
      <c r="Y68" s="197">
        <f t="shared" si="35"/>
        <v>3316000</v>
      </c>
      <c r="Z68" s="197"/>
      <c r="AA68" s="197"/>
      <c r="AB68" s="197"/>
      <c r="AC68" s="197">
        <f>AC10+AC12-AC14</f>
        <v>3590719</v>
      </c>
      <c r="AD68" s="64"/>
    </row>
    <row r="69" spans="2:30" s="168" customFormat="1" ht="12.75">
      <c r="B69" s="173" t="s">
        <v>104</v>
      </c>
      <c r="C69" s="197"/>
      <c r="D69" s="197"/>
      <c r="E69" s="197"/>
      <c r="F69" s="197"/>
      <c r="G69" s="197"/>
      <c r="H69" s="197"/>
      <c r="I69" s="197"/>
      <c r="J69" s="197"/>
      <c r="K69" s="197">
        <f>K68</f>
        <v>2331757.6899999976</v>
      </c>
      <c r="L69" s="197">
        <f>L68</f>
        <v>3635054.9999999963</v>
      </c>
      <c r="M69" s="197">
        <f aca="true" t="shared" si="36" ref="M69:Y69">M68</f>
        <v>2515520.649999995</v>
      </c>
      <c r="N69" s="197">
        <f t="shared" si="36"/>
        <v>2188013</v>
      </c>
      <c r="O69" s="197">
        <f t="shared" si="36"/>
        <v>2705999.6799999997</v>
      </c>
      <c r="P69" s="197">
        <f t="shared" si="36"/>
        <v>3332000</v>
      </c>
      <c r="Q69" s="197">
        <f t="shared" si="36"/>
        <v>3384600</v>
      </c>
      <c r="R69" s="197">
        <f t="shared" si="36"/>
        <v>3285582</v>
      </c>
      <c r="S69" s="197">
        <f t="shared" si="36"/>
        <v>3680584</v>
      </c>
      <c r="T69" s="197">
        <f t="shared" si="36"/>
        <v>3700584</v>
      </c>
      <c r="U69" s="197">
        <f t="shared" si="36"/>
        <v>3379000</v>
      </c>
      <c r="V69" s="197">
        <f t="shared" si="36"/>
        <v>3074000</v>
      </c>
      <c r="W69" s="197">
        <f t="shared" si="36"/>
        <v>3105000</v>
      </c>
      <c r="X69" s="197">
        <f t="shared" si="36"/>
        <v>3285000</v>
      </c>
      <c r="Y69" s="197">
        <f t="shared" si="36"/>
        <v>3316000</v>
      </c>
      <c r="Z69" s="197"/>
      <c r="AA69" s="197"/>
      <c r="AB69" s="197"/>
      <c r="AC69" s="197">
        <f>AC68</f>
        <v>3590719</v>
      </c>
      <c r="AD69" s="64"/>
    </row>
    <row r="70" spans="2:30" s="168" customFormat="1" ht="12.75">
      <c r="B70" s="173" t="s">
        <v>91</v>
      </c>
      <c r="C70" s="200">
        <f>C68/C9</f>
        <v>0.04033378969413881</v>
      </c>
      <c r="D70" s="200">
        <f>D68/D9</f>
        <v>0.06233470557747359</v>
      </c>
      <c r="E70" s="200">
        <f>E68/E9</f>
        <v>0.041881677804368654</v>
      </c>
      <c r="F70" s="218">
        <f>F68/F9*100</f>
        <v>5.763457654630502</v>
      </c>
      <c r="G70" s="218">
        <f>G68/G9*100</f>
        <v>1.9591372475215691</v>
      </c>
      <c r="H70" s="218">
        <f>H68/H9*100</f>
        <v>3.893068193170018</v>
      </c>
      <c r="I70" s="218">
        <f>I68/I9*100</f>
        <v>6.121077802287938</v>
      </c>
      <c r="J70" s="218">
        <f>J68/J9*100</f>
        <v>5.017434510224269</v>
      </c>
      <c r="K70" s="218">
        <f>K69/K9*100</f>
        <v>8.834682160644897</v>
      </c>
      <c r="L70" s="218">
        <f>L69/L9*100</f>
        <v>11.489213978807356</v>
      </c>
      <c r="M70" s="218">
        <f>M69/M9*100</f>
        <v>7.323761630937252</v>
      </c>
      <c r="N70" s="218">
        <f aca="true" t="shared" si="37" ref="N70:X70">N69/N9*100</f>
        <v>5.97804023137064</v>
      </c>
      <c r="O70" s="218">
        <f t="shared" si="37"/>
        <v>7.603359921212771</v>
      </c>
      <c r="P70" s="218">
        <f t="shared" si="37"/>
        <v>9.771017437981751</v>
      </c>
      <c r="Q70" s="218">
        <f t="shared" si="37"/>
        <v>10.056274252301183</v>
      </c>
      <c r="R70" s="218">
        <f t="shared" si="37"/>
        <v>9.872369419501137</v>
      </c>
      <c r="S70" s="218">
        <f t="shared" si="37"/>
        <v>11.050619901458521</v>
      </c>
      <c r="T70" s="218">
        <f t="shared" si="37"/>
        <v>11.15050737046722</v>
      </c>
      <c r="U70" s="218">
        <f t="shared" si="37"/>
        <v>10.221738209758902</v>
      </c>
      <c r="V70" s="218">
        <f t="shared" si="37"/>
        <v>9.30105900151286</v>
      </c>
      <c r="W70" s="218">
        <f t="shared" si="37"/>
        <v>9.386903682205695</v>
      </c>
      <c r="X70" s="218">
        <f t="shared" si="37"/>
        <v>9.876728803367408</v>
      </c>
      <c r="Y70" s="218">
        <f>Y69/Y9*100</f>
        <v>9.946607474953506</v>
      </c>
      <c r="Z70" s="218"/>
      <c r="AA70" s="218"/>
      <c r="AB70" s="218"/>
      <c r="AC70" s="218">
        <f>AC69/AC9*100</f>
        <v>10.700995380718224</v>
      </c>
      <c r="AD70" s="64"/>
    </row>
    <row r="71" spans="2:30" s="168" customFormat="1" ht="12.75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64"/>
    </row>
    <row r="72" spans="2:30" s="168" customFormat="1" ht="12.75">
      <c r="B72" s="173"/>
      <c r="C72" s="173"/>
      <c r="D72" s="201">
        <f>D47-D51</f>
        <v>8193000.000000001</v>
      </c>
      <c r="E72" s="201">
        <f>E47-E51</f>
        <v>8790000</v>
      </c>
      <c r="F72" s="201">
        <f>F47-F51</f>
        <v>9648000</v>
      </c>
      <c r="G72" s="201">
        <f aca="true" t="shared" si="38" ref="G72:T72">G47-G51</f>
        <v>10677130</v>
      </c>
      <c r="H72" s="201">
        <f t="shared" si="38"/>
        <v>12747541.85</v>
      </c>
      <c r="I72" s="201">
        <f>I47-I51</f>
        <v>13991288.18</v>
      </c>
      <c r="J72" s="201">
        <f>J47-J51</f>
        <v>15470907.59</v>
      </c>
      <c r="K72" s="201">
        <f t="shared" si="38"/>
        <v>16778306.18</v>
      </c>
      <c r="L72" s="201">
        <f t="shared" si="38"/>
        <v>15699318.68</v>
      </c>
      <c r="M72" s="201">
        <f t="shared" si="38"/>
        <v>16125586.68</v>
      </c>
      <c r="N72" s="201">
        <f t="shared" si="38"/>
        <v>18391211.2</v>
      </c>
      <c r="O72" s="201">
        <f t="shared" si="38"/>
        <v>18858386.52</v>
      </c>
      <c r="P72" s="201">
        <f t="shared" si="38"/>
        <v>18557186.52</v>
      </c>
      <c r="Q72" s="201">
        <f t="shared" si="38"/>
        <v>17477186.52</v>
      </c>
      <c r="R72" s="201">
        <f t="shared" si="38"/>
        <v>15937186.52</v>
      </c>
      <c r="S72" s="201">
        <f t="shared" si="38"/>
        <v>14297186.52</v>
      </c>
      <c r="T72" s="201">
        <f t="shared" si="38"/>
        <v>12637186.52</v>
      </c>
      <c r="U72" s="201">
        <f aca="true" t="shared" si="39" ref="U72:AC72">U47-U51</f>
        <v>11037186.52</v>
      </c>
      <c r="V72" s="201">
        <f t="shared" si="39"/>
        <v>9437186.52</v>
      </c>
      <c r="W72" s="201">
        <f t="shared" si="39"/>
        <v>7837186.52</v>
      </c>
      <c r="X72" s="201">
        <f t="shared" si="39"/>
        <v>6237186.52</v>
      </c>
      <c r="Y72" s="201">
        <f t="shared" si="39"/>
        <v>4637186.52</v>
      </c>
      <c r="Z72" s="201"/>
      <c r="AA72" s="201"/>
      <c r="AB72" s="201"/>
      <c r="AC72" s="201">
        <f t="shared" si="39"/>
        <v>-4.656612873077393E-10</v>
      </c>
      <c r="AD72" s="64"/>
    </row>
    <row r="73" spans="2:30" ht="12.75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64"/>
    </row>
    <row r="74" spans="2:30" ht="12.75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64"/>
    </row>
    <row r="75" spans="2:30" ht="12.75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64"/>
    </row>
    <row r="76" spans="2:30" ht="12.75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64"/>
    </row>
    <row r="77" spans="2:30" ht="12.75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64"/>
    </row>
    <row r="78" spans="2:30" ht="12.75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64"/>
    </row>
    <row r="79" spans="2:30" ht="12.75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64"/>
    </row>
    <row r="80" spans="2:30" ht="12.75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64"/>
    </row>
    <row r="81" spans="2:30" ht="12.75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64"/>
    </row>
    <row r="82" spans="2:30" ht="12.75"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3"/>
      <c r="M82" s="173"/>
      <c r="N82" s="173"/>
      <c r="O82" s="173"/>
      <c r="P82" s="173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64"/>
    </row>
    <row r="83" spans="2:30" ht="12.75"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3"/>
      <c r="M83" s="173"/>
      <c r="N83" s="173"/>
      <c r="O83" s="173"/>
      <c r="P83" s="173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64"/>
    </row>
    <row r="84" spans="2:30" ht="12.75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3"/>
      <c r="M84" s="173"/>
      <c r="N84" s="173"/>
      <c r="O84" s="173"/>
      <c r="P84" s="173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64"/>
    </row>
    <row r="85" spans="2:30" ht="12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168"/>
      <c r="M85" s="168"/>
      <c r="N85" s="168"/>
      <c r="O85" s="168"/>
      <c r="P85" s="168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</sheetData>
  <sheetProtection/>
  <mergeCells count="9">
    <mergeCell ref="S73:AC73"/>
    <mergeCell ref="Q58:AC58"/>
    <mergeCell ref="Q60:AC60"/>
    <mergeCell ref="U1:AC1"/>
    <mergeCell ref="U2:AC2"/>
    <mergeCell ref="U3:AC3"/>
    <mergeCell ref="U5:AC5"/>
    <mergeCell ref="Q4:AC4"/>
    <mergeCell ref="B6:AC6"/>
  </mergeCells>
  <printOptions/>
  <pageMargins left="0.25" right="0.25" top="0.75" bottom="0.75" header="0.3" footer="0.3"/>
  <pageSetup horizontalDpi="600" verticalDpi="600" orientation="landscape" paperSize="9" scale="60" r:id="rId1"/>
  <headerFooter alignWithMargins="0">
    <oddFooter>&amp;CStrona &amp;P z &amp;N&amp;RPrzewodniczący Rady Gminy
Sławomir Olender
Załącznik nr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2018-04-18T12:30:41Z</cp:lastPrinted>
  <dcterms:modified xsi:type="dcterms:W3CDTF">2018-04-24T11:22:03Z</dcterms:modified>
  <cp:category/>
  <cp:version/>
  <cp:contentType/>
  <cp:contentStatus/>
</cp:coreProperties>
</file>